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oaconsulting.sharepoint.com/sites/Railtraffic/References/Preemption Calculation Forms/"/>
    </mc:Choice>
  </mc:AlternateContent>
  <xr:revisionPtr revIDLastSave="57" documentId="13_ncr:1_{AA1009C8-9D47-4071-B834-06B97348C79E}" xr6:coauthVersionLast="47" xr6:coauthVersionMax="47" xr10:uidLastSave="{E3EBC1D7-76D3-4A39-9629-99D91D78291B}"/>
  <bookViews>
    <workbookView xWindow="-50280" yWindow="-3705" windowWidth="21600" windowHeight="11325" tabRatio="850" firstSheet="1" activeTab="2" xr2:uid="{00000000-000D-0000-FFFF-FFFF00000000}"/>
  </bookViews>
  <sheets>
    <sheet name="Table" sheetId="4" state="hidden" r:id="rId1"/>
    <sheet name="Instructions" sheetId="5" r:id="rId2"/>
    <sheet name="Sample" sheetId="28" r:id="rId3"/>
  </sheets>
  <definedNames>
    <definedName name="_xlnm.Print_Area" localSheetId="1">Instructions!$A$1:$C$58</definedName>
    <definedName name="_xlnm.Print_Area" localSheetId="2">Sample!$A$1:$T$63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28" l="1"/>
  <c r="F47" i="28"/>
  <c r="F50" i="28" s="1"/>
  <c r="H46" i="28"/>
  <c r="H39" i="28"/>
  <c r="H38" i="28"/>
  <c r="F37" i="28"/>
  <c r="I27" i="28"/>
  <c r="H27" i="28"/>
  <c r="G27" i="28"/>
  <c r="F27" i="28"/>
  <c r="I26" i="28"/>
  <c r="H26" i="28"/>
  <c r="G26" i="28"/>
  <c r="F26" i="28"/>
  <c r="I25" i="28"/>
  <c r="H25" i="28"/>
  <c r="G25" i="28"/>
  <c r="F25" i="28"/>
  <c r="I24" i="28"/>
  <c r="H24" i="28"/>
  <c r="G24" i="28"/>
  <c r="F24" i="28"/>
  <c r="I23" i="28"/>
  <c r="H23" i="28"/>
  <c r="G23" i="28"/>
  <c r="F23" i="28"/>
  <c r="P19" i="28"/>
  <c r="I19" i="28"/>
  <c r="H19" i="28"/>
  <c r="G19" i="28"/>
  <c r="F19" i="28"/>
  <c r="P18" i="28"/>
  <c r="P17" i="28"/>
  <c r="P16" i="28"/>
  <c r="F13" i="28"/>
  <c r="I22" i="28" s="1"/>
  <c r="Q12" i="28"/>
  <c r="Q10" i="28"/>
  <c r="Q9" i="28"/>
  <c r="Q8" i="28"/>
  <c r="R2" i="28"/>
  <c r="S1" i="28"/>
  <c r="M1" i="28"/>
  <c r="J23" i="28" l="1"/>
  <c r="J24" i="28"/>
  <c r="J25" i="28"/>
  <c r="N2" i="28"/>
  <c r="J27" i="28"/>
  <c r="R24" i="28" s="1"/>
  <c r="I20" i="28"/>
  <c r="I21" i="28" s="1"/>
  <c r="J26" i="28"/>
  <c r="F20" i="28"/>
  <c r="F21" i="28" s="1"/>
  <c r="G22" i="28"/>
  <c r="F22" i="28"/>
  <c r="G20" i="28"/>
  <c r="G21" i="28" s="1"/>
  <c r="H22" i="28"/>
  <c r="H20" i="28"/>
  <c r="H21" i="28" s="1"/>
  <c r="J21" i="28" l="1"/>
  <c r="J22" i="28"/>
  <c r="F32" i="28" l="1"/>
  <c r="F31" i="28"/>
  <c r="O20" i="28"/>
  <c r="H31" i="28" l="1"/>
  <c r="H32" i="28"/>
  <c r="P13" i="28"/>
  <c r="O14" i="28"/>
  <c r="F57" i="28" l="1"/>
  <c r="F39" i="28" l="1"/>
  <c r="F54" i="28" s="1"/>
  <c r="Q11" i="28" l="1"/>
  <c r="P15" i="28"/>
  <c r="F55" i="28"/>
  <c r="F60" i="28"/>
  <c r="F62" i="28" s="1"/>
  <c r="P21" i="28" l="1"/>
  <c r="O13" i="28"/>
  <c r="R23" i="28"/>
  <c r="P23" i="28" l="1"/>
  <c r="P25" i="28" s="1"/>
  <c r="P24" i="28" l="1"/>
</calcChain>
</file>

<file path=xl/sharedStrings.xml><?xml version="1.0" encoding="utf-8"?>
<sst xmlns="http://schemas.openxmlformats.org/spreadsheetml/2006/main" count="135" uniqueCount="90">
  <si>
    <t>Warning
Device</t>
  </si>
  <si>
    <t>Gate Down</t>
  </si>
  <si>
    <t>Gate Descent</t>
  </si>
  <si>
    <t>Lights Flash</t>
  </si>
  <si>
    <t>ft</t>
  </si>
  <si>
    <t>Separation</t>
  </si>
  <si>
    <t>Length, L</t>
  </si>
  <si>
    <t>Track Clear Green</t>
  </si>
  <si>
    <t>Car</t>
  </si>
  <si>
    <t>Truck</t>
  </si>
  <si>
    <t>Bus</t>
  </si>
  <si>
    <t>Semi</t>
  </si>
  <si>
    <t>Yellow + All Red</t>
  </si>
  <si>
    <t>Vehicle Length (ft)</t>
  </si>
  <si>
    <t>Queue Space (ft/veh)</t>
  </si>
  <si>
    <t>Vehicles within L (veh)</t>
  </si>
  <si>
    <t>Walk</t>
  </si>
  <si>
    <t>Start moving last vehicle in L (sec)</t>
  </si>
  <si>
    <t>Move front of vehicle thru L (sec)</t>
  </si>
  <si>
    <t>Move entire vehicle thru MTCD (sec)</t>
  </si>
  <si>
    <t>Yes</t>
  </si>
  <si>
    <t>Green Track Clearance Time</t>
  </si>
  <si>
    <t>sec</t>
  </si>
  <si>
    <t>MTCD Queue Clearance Time</t>
  </si>
  <si>
    <t>Maximum RWTT</t>
  </si>
  <si>
    <t>Separation Time, ST</t>
  </si>
  <si>
    <t>Maximum Preemption Time, MPT</t>
  </si>
  <si>
    <t>Minimum Time, MT</t>
  </si>
  <si>
    <t>Clearance Time, CT</t>
  </si>
  <si>
    <t>Minimum Warning Time, MWT</t>
  </si>
  <si>
    <t>Buffer Time, BT</t>
  </si>
  <si>
    <t>Maximum Authorized Speed, MAS</t>
  </si>
  <si>
    <t>mph</t>
  </si>
  <si>
    <t>Total Approach Distance, TAD</t>
  </si>
  <si>
    <t>Move entire vehicle past gate (sec)</t>
  </si>
  <si>
    <t>Vehicle Height (ft)</t>
  </si>
  <si>
    <t>Non-interaction gate descent time (sec)</t>
  </si>
  <si>
    <t>Use</t>
  </si>
  <si>
    <t>Distance from gate to vehicle</t>
  </si>
  <si>
    <t>Include vehicle-gate interaction check?</t>
  </si>
  <si>
    <t>Queue Clearance</t>
  </si>
  <si>
    <t>Queue Startup</t>
  </si>
  <si>
    <t>No</t>
  </si>
  <si>
    <t xml:space="preserve">Traffic  
Signal  </t>
  </si>
  <si>
    <t>Design
Vehicle</t>
  </si>
  <si>
    <t>Preemption Timeline Displays Minimum RWTT?</t>
  </si>
  <si>
    <t>Grade</t>
  </si>
  <si>
    <t>%</t>
  </si>
  <si>
    <t>Street Name:</t>
  </si>
  <si>
    <t>Part 1:</t>
  </si>
  <si>
    <t xml:space="preserve">Part 2: </t>
  </si>
  <si>
    <t>Part 3:</t>
  </si>
  <si>
    <t>Section 2: Railroad Information</t>
  </si>
  <si>
    <t>Crossing No:</t>
  </si>
  <si>
    <t>Page 1</t>
  </si>
  <si>
    <t>Page 2</t>
  </si>
  <si>
    <t>Page 3</t>
  </si>
  <si>
    <t>Conflicting vehicle clearance time (sec)</t>
  </si>
  <si>
    <t>Minimum Track Clearance Dist, MTCD</t>
  </si>
  <si>
    <t>Minimum Walk</t>
  </si>
  <si>
    <t>Minimum Green</t>
  </si>
  <si>
    <t>Maximum Yellow + All Red</t>
  </si>
  <si>
    <t>sec minimum</t>
  </si>
  <si>
    <t>Section 1: Highway and Traffic Information</t>
  </si>
  <si>
    <t>Omit Conflicting Move</t>
  </si>
  <si>
    <t>Approach vehicle clearance time (sec)</t>
  </si>
  <si>
    <t>Clear Storage Distance, CSD</t>
  </si>
  <si>
    <t>Omit Approach Move</t>
  </si>
  <si>
    <t>Omit Both Moves</t>
  </si>
  <si>
    <t>Phase Omit</t>
  </si>
  <si>
    <t>Ped Clearance</t>
  </si>
  <si>
    <t>Maximum Ped Clearance</t>
  </si>
  <si>
    <t>Advance Pedestrian</t>
  </si>
  <si>
    <t>Railroad Preemption Form Instructions</t>
  </si>
  <si>
    <t>Approach Storage Distance, ASD</t>
  </si>
  <si>
    <t>Maximum Approach Move Distance, MAMD</t>
  </si>
  <si>
    <t>Maximum Conflicting Move Distance, MCMD</t>
  </si>
  <si>
    <t>Include MCMD per Diagnostic Team?</t>
  </si>
  <si>
    <t>Advance Vehicle</t>
  </si>
  <si>
    <t>Programmed Warning Time, PWT</t>
  </si>
  <si>
    <t>Equipment Response Time, ERTC+ERTD</t>
  </si>
  <si>
    <t>Equipment Response Time, ERTA</t>
  </si>
  <si>
    <t>System Design Time, SDT</t>
  </si>
  <si>
    <t>Advance Ped Preemption Time, APPT</t>
  </si>
  <si>
    <t>Railroad Preemption Form 3d</t>
  </si>
  <si>
    <t>Advance Veh Preemption Time, AVPT</t>
  </si>
  <si>
    <t>Programmed Veh Preemption Time, PVPT</t>
  </si>
  <si>
    <t>Include Vehicle Type in Calculation?</t>
  </si>
  <si>
    <t>Programmed Ped Preemption Time, PPPT</t>
  </si>
  <si>
    <t>Revised 3/17/2022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</si>
</sst>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sz val="10"/>
      <name val="Arial"/>
      <family val="2"/>
    </font>
    <font>
      <b/>
      <sz val="12"/>
      <name val="Arial"/>
      <family val="2"/>
    </font>
    <font>
      <sz val="10"/>
      <name val="Arial"/>
      <family val="2"/>
    </font>
    <font>
      <b/>
      <sz val="10"/>
      <name val="Arial"/>
      <family val="2"/>
    </font>
    <font>
      <sz val="10"/>
      <name val="Arial Narrow"/>
      <family val="2"/>
    </font>
    <font>
      <b/>
      <sz val="10"/>
      <color indexed="60"/>
      <name val="Arial"/>
      <family val="2"/>
    </font>
    <font>
      <sz val="10"/>
      <color indexed="60"/>
      <name val="Arial"/>
      <family val="2"/>
    </font>
    <font>
      <b/>
      <sz val="9"/>
      <color indexed="10"/>
      <name val="Arial"/>
      <family val="2"/>
    </font>
    <font>
      <sz val="9"/>
      <name val="Arial Narrow"/>
      <family val="2"/>
    </font>
    <font>
      <i/>
      <sz val="10"/>
      <color indexed="10"/>
      <name val="Arial Narrow"/>
      <family val="2"/>
    </font>
    <font>
      <b/>
      <sz val="9"/>
      <name val="Arial"/>
      <family val="2"/>
    </font>
    <font>
      <sz val="9"/>
      <name val="Arial"/>
      <family val="2"/>
    </font>
    <font>
      <sz val="9"/>
      <name val="Arial"/>
      <family val="2"/>
    </font>
    <font>
      <sz val="10"/>
      <color theme="0"/>
      <name val="Arial"/>
      <family val="2"/>
    </font>
    <font>
      <b/>
      <sz val="10"/>
      <color theme="0"/>
      <name val="Arial"/>
      <family val="2"/>
    </font>
    <font>
      <sz val="9"/>
      <color theme="0"/>
      <name val="Arial"/>
      <family val="2"/>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41"/>
        <bgColor indexed="64"/>
      </patternFill>
    </fill>
    <fill>
      <patternFill patternType="solid">
        <fgColor indexed="46"/>
        <bgColor indexed="64"/>
      </patternFill>
    </fill>
    <fill>
      <patternFill patternType="solid">
        <fgColor rgb="FF99CCFF"/>
        <bgColor indexed="64"/>
      </patternFill>
    </fill>
  </fills>
  <borders count="32">
    <border>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22">
    <xf numFmtId="0" fontId="0" fillId="0" borderId="0" xfId="0"/>
    <xf numFmtId="0" fontId="2" fillId="0" borderId="0" xfId="0" applyFont="1" applyAlignment="1">
      <alignment horizontal="left"/>
    </xf>
    <xf numFmtId="0" fontId="0" fillId="0" borderId="0" xfId="0" applyAlignment="1">
      <alignment horizontal="right"/>
    </xf>
    <xf numFmtId="0" fontId="0" fillId="0" borderId="1" xfId="0" applyBorder="1"/>
    <xf numFmtId="1" fontId="0" fillId="0" borderId="0" xfId="0" applyNumberFormat="1"/>
    <xf numFmtId="0" fontId="0" fillId="0" borderId="2" xfId="0" applyBorder="1"/>
    <xf numFmtId="0" fontId="0" fillId="0" borderId="0" xfId="0" applyAlignment="1">
      <alignment vertical="center"/>
    </xf>
    <xf numFmtId="0" fontId="3" fillId="0" borderId="0" xfId="0" applyFont="1" applyAlignment="1">
      <alignment horizontal="right" vertical="center"/>
    </xf>
    <xf numFmtId="0" fontId="0" fillId="2" borderId="3" xfId="0" applyFill="1" applyBorder="1" applyAlignment="1" applyProtection="1">
      <alignment vertical="center"/>
      <protection locked="0"/>
    </xf>
    <xf numFmtId="0" fontId="3" fillId="0" borderId="0" xfId="0" applyFont="1" applyAlignment="1">
      <alignment horizontal="right"/>
    </xf>
    <xf numFmtId="164" fontId="3" fillId="0" borderId="0" xfId="0" applyNumberFormat="1" applyFont="1"/>
    <xf numFmtId="0" fontId="3" fillId="0" borderId="0" xfId="0" applyFont="1"/>
    <xf numFmtId="0" fontId="9" fillId="0" borderId="0" xfId="0" applyFont="1"/>
    <xf numFmtId="0" fontId="0" fillId="0" borderId="4" xfId="0" applyBorder="1"/>
    <xf numFmtId="0" fontId="0" fillId="0" borderId="5" xfId="0" applyBorder="1"/>
    <xf numFmtId="0" fontId="0" fillId="0" borderId="6" xfId="0" applyBorder="1"/>
    <xf numFmtId="0" fontId="10" fillId="0" borderId="0" xfId="0" applyFont="1"/>
    <xf numFmtId="0" fontId="0" fillId="0" borderId="0" xfId="0" applyAlignment="1">
      <alignment horizontal="center" wrapText="1"/>
    </xf>
    <xf numFmtId="0" fontId="0" fillId="0" borderId="0" xfId="0" applyAlignment="1">
      <alignment horizontal="center"/>
    </xf>
    <xf numFmtId="0" fontId="2" fillId="0" borderId="0" xfId="0" applyFont="1" applyAlignment="1">
      <alignment horizontal="center"/>
    </xf>
    <xf numFmtId="1" fontId="0" fillId="0" borderId="0" xfId="0" applyNumberFormat="1" applyAlignment="1">
      <alignment horizontal="center"/>
    </xf>
    <xf numFmtId="1" fontId="0" fillId="0" borderId="0" xfId="0" quotePrefix="1" applyNumberFormat="1" applyAlignment="1">
      <alignment horizontal="center"/>
    </xf>
    <xf numFmtId="0" fontId="0" fillId="0" borderId="0" xfId="0" quotePrefix="1" applyAlignment="1">
      <alignment horizontal="center"/>
    </xf>
    <xf numFmtId="0" fontId="11" fillId="3" borderId="3" xfId="0" applyFont="1" applyFill="1" applyBorder="1" applyAlignment="1" applyProtection="1">
      <alignment horizontal="center"/>
      <protection locked="0"/>
    </xf>
    <xf numFmtId="2" fontId="0" fillId="0" borderId="7" xfId="0" applyNumberFormat="1" applyBorder="1"/>
    <xf numFmtId="2" fontId="0" fillId="0" borderId="8" xfId="0" applyNumberFormat="1" applyBorder="1"/>
    <xf numFmtId="2" fontId="0" fillId="0" borderId="9" xfId="0" applyNumberFormat="1" applyBorder="1"/>
    <xf numFmtId="2" fontId="0" fillId="0" borderId="10" xfId="0" applyNumberFormat="1" applyBorder="1"/>
    <xf numFmtId="2" fontId="0" fillId="0" borderId="0" xfId="0" applyNumberFormat="1"/>
    <xf numFmtId="2" fontId="0" fillId="0" borderId="11" xfId="0" applyNumberFormat="1" applyBorder="1"/>
    <xf numFmtId="2" fontId="0" fillId="0" borderId="12" xfId="0" applyNumberFormat="1" applyBorder="1"/>
    <xf numFmtId="2" fontId="0" fillId="0" borderId="13" xfId="0" applyNumberFormat="1" applyBorder="1"/>
    <xf numFmtId="2" fontId="0" fillId="0" borderId="14" xfId="0" applyNumberFormat="1" applyBorder="1"/>
    <xf numFmtId="164" fontId="0" fillId="2" borderId="3" xfId="0" applyNumberFormat="1" applyFill="1" applyBorder="1" applyAlignment="1" applyProtection="1">
      <alignment vertical="center"/>
      <protection locked="0"/>
    </xf>
    <xf numFmtId="0" fontId="12" fillId="0" borderId="15" xfId="0" applyFont="1" applyBorder="1"/>
    <xf numFmtId="0" fontId="12" fillId="0" borderId="8" xfId="0" applyFont="1" applyBorder="1"/>
    <xf numFmtId="0" fontId="12" fillId="0" borderId="8" xfId="0" applyFont="1" applyBorder="1" applyAlignment="1">
      <alignment horizontal="right"/>
    </xf>
    <xf numFmtId="0" fontId="12" fillId="0" borderId="16" xfId="0" applyFont="1" applyBorder="1"/>
    <xf numFmtId="0" fontId="13" fillId="0" borderId="8" xfId="0" applyFont="1" applyBorder="1" applyAlignment="1">
      <alignment horizontal="right"/>
    </xf>
    <xf numFmtId="0" fontId="13" fillId="0" borderId="8" xfId="0" applyFont="1" applyBorder="1"/>
    <xf numFmtId="0" fontId="12" fillId="0" borderId="0" xfId="0" applyFont="1"/>
    <xf numFmtId="1" fontId="6" fillId="0" borderId="0" xfId="0" applyNumberFormat="1" applyFont="1" applyAlignment="1">
      <alignment horizontal="center"/>
    </xf>
    <xf numFmtId="9" fontId="0" fillId="0" borderId="17" xfId="0" applyNumberFormat="1" applyBorder="1"/>
    <xf numFmtId="9" fontId="0" fillId="0" borderId="15" xfId="0" applyNumberFormat="1" applyBorder="1"/>
    <xf numFmtId="9" fontId="0" fillId="0" borderId="18" xfId="0" applyNumberFormat="1" applyBorder="1"/>
    <xf numFmtId="0" fontId="0" fillId="0" borderId="19" xfId="0" applyBorder="1"/>
    <xf numFmtId="0" fontId="0" fillId="0" borderId="20" xfId="0" applyBorder="1"/>
    <xf numFmtId="0" fontId="0" fillId="0" borderId="21" xfId="0" applyBorder="1"/>
    <xf numFmtId="0" fontId="11" fillId="0" borderId="2" xfId="0" applyFont="1" applyBorder="1"/>
    <xf numFmtId="0" fontId="12" fillId="0" borderId="1" xfId="0" applyFont="1" applyBorder="1"/>
    <xf numFmtId="0" fontId="12" fillId="0" borderId="13" xfId="0" applyFont="1" applyBorder="1"/>
    <xf numFmtId="0" fontId="12" fillId="0" borderId="13" xfId="0" applyFont="1" applyBorder="1" applyAlignment="1">
      <alignment horizontal="right"/>
    </xf>
    <xf numFmtId="0" fontId="12" fillId="0" borderId="22" xfId="0" applyFont="1" applyBorder="1"/>
    <xf numFmtId="0" fontId="0" fillId="0" borderId="5" xfId="0" applyBorder="1" applyAlignment="1">
      <alignment horizontal="right"/>
    </xf>
    <xf numFmtId="0" fontId="1" fillId="0" borderId="0" xfId="0" applyFont="1"/>
    <xf numFmtId="0" fontId="1" fillId="0" borderId="0" xfId="0" applyFont="1" applyAlignment="1">
      <alignment horizontal="right" vertical="top"/>
    </xf>
    <xf numFmtId="1" fontId="4" fillId="0" borderId="0" xfId="0" applyNumberFormat="1" applyFont="1"/>
    <xf numFmtId="1" fontId="1" fillId="0" borderId="0" xfId="0" applyNumberFormat="1" applyFont="1" applyProtection="1">
      <protection locked="0"/>
    </xf>
    <xf numFmtId="0" fontId="5" fillId="0" borderId="0" xfId="0" applyFont="1"/>
    <xf numFmtId="0" fontId="1" fillId="0" borderId="0" xfId="0" applyFont="1" applyAlignment="1">
      <alignment horizontal="right"/>
    </xf>
    <xf numFmtId="164" fontId="1" fillId="0" borderId="0" xfId="0" applyNumberFormat="1" applyFont="1" applyProtection="1">
      <protection locked="0"/>
    </xf>
    <xf numFmtId="0" fontId="4" fillId="0" borderId="0" xfId="0" applyFont="1" applyAlignment="1">
      <alignment horizontal="center"/>
    </xf>
    <xf numFmtId="0" fontId="1" fillId="0" borderId="0" xfId="0" applyFont="1" applyAlignment="1">
      <alignment horizontal="center"/>
    </xf>
    <xf numFmtId="0" fontId="12" fillId="0" borderId="0" xfId="0" applyFont="1" applyAlignment="1">
      <alignment horizontal="center"/>
    </xf>
    <xf numFmtId="0" fontId="0" fillId="0" borderId="0" xfId="0" applyAlignment="1">
      <alignment horizontal="right" vertical="center"/>
    </xf>
    <xf numFmtId="1" fontId="4" fillId="4" borderId="3" xfId="0" applyNumberFormat="1" applyFont="1" applyFill="1" applyBorder="1" applyAlignment="1">
      <alignment vertical="center"/>
    </xf>
    <xf numFmtId="0" fontId="3" fillId="0" borderId="0" xfId="0" applyFont="1" applyAlignment="1">
      <alignment vertical="center"/>
    </xf>
    <xf numFmtId="1" fontId="4" fillId="5" borderId="3" xfId="0" applyNumberFormat="1" applyFont="1" applyFill="1" applyBorder="1" applyAlignment="1">
      <alignment vertical="center"/>
    </xf>
    <xf numFmtId="1" fontId="0" fillId="2" borderId="3" xfId="0" applyNumberFormat="1" applyFill="1" applyBorder="1" applyAlignment="1" applyProtection="1">
      <alignment vertical="center"/>
      <protection locked="0"/>
    </xf>
    <xf numFmtId="164" fontId="0" fillId="2" borderId="19" xfId="0" applyNumberFormat="1" applyFill="1" applyBorder="1" applyAlignment="1" applyProtection="1">
      <alignment vertical="center"/>
      <protection locked="0"/>
    </xf>
    <xf numFmtId="1" fontId="4" fillId="0" borderId="23" xfId="0" applyNumberFormat="1" applyFont="1" applyBorder="1" applyAlignment="1">
      <alignment vertical="center"/>
    </xf>
    <xf numFmtId="1" fontId="0" fillId="2" borderId="20" xfId="0" applyNumberFormat="1" applyFill="1" applyBorder="1" applyAlignment="1" applyProtection="1">
      <alignment vertical="center"/>
      <protection locked="0"/>
    </xf>
    <xf numFmtId="1" fontId="4" fillId="0" borderId="24" xfId="0" applyNumberFormat="1" applyFont="1" applyBorder="1" applyAlignment="1">
      <alignment vertical="center"/>
    </xf>
    <xf numFmtId="0" fontId="3" fillId="0" borderId="3" xfId="0" applyFont="1" applyBorder="1" applyAlignment="1">
      <alignment horizontal="center" vertical="center"/>
    </xf>
    <xf numFmtId="0" fontId="0" fillId="0" borderId="1" xfId="0" applyBorder="1" applyAlignment="1">
      <alignment vertical="center"/>
    </xf>
    <xf numFmtId="0" fontId="3" fillId="2" borderId="3" xfId="0" applyFont="1" applyFill="1" applyBorder="1" applyAlignment="1" applyProtection="1">
      <alignment vertical="center"/>
      <protection locked="0"/>
    </xf>
    <xf numFmtId="1" fontId="3" fillId="0" borderId="0" xfId="0" applyNumberFormat="1" applyFont="1" applyAlignment="1">
      <alignment vertical="center"/>
    </xf>
    <xf numFmtId="164" fontId="4" fillId="0" borderId="0" xfId="0" applyNumberFormat="1" applyFont="1" applyAlignment="1">
      <alignment vertical="center"/>
    </xf>
    <xf numFmtId="1" fontId="6" fillId="0" borderId="1" xfId="0" applyNumberFormat="1" applyFont="1" applyBorder="1" applyAlignment="1">
      <alignment horizontal="center" vertical="center"/>
    </xf>
    <xf numFmtId="164" fontId="3" fillId="0" borderId="0" xfId="0" applyNumberFormat="1" applyFont="1" applyAlignment="1">
      <alignment vertical="center"/>
    </xf>
    <xf numFmtId="1" fontId="7" fillId="0" borderId="1" xfId="0" applyNumberFormat="1" applyFont="1" applyBorder="1" applyAlignment="1">
      <alignment horizontal="center" vertical="center"/>
    </xf>
    <xf numFmtId="0" fontId="8" fillId="2" borderId="3"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0" fillId="2" borderId="19" xfId="0" applyFill="1" applyBorder="1" applyAlignment="1" applyProtection="1">
      <alignment vertical="center"/>
      <protection locked="0"/>
    </xf>
    <xf numFmtId="0" fontId="4" fillId="0" borderId="24" xfId="0" applyFont="1" applyBorder="1" applyAlignment="1">
      <alignment vertical="center"/>
    </xf>
    <xf numFmtId="1" fontId="0" fillId="0" borderId="0" xfId="0" applyNumberFormat="1" applyAlignment="1">
      <alignment vertical="center"/>
    </xf>
    <xf numFmtId="1" fontId="0" fillId="6" borderId="3" xfId="0" applyNumberFormat="1" applyFill="1" applyBorder="1" applyAlignment="1" applyProtection="1">
      <alignment vertical="center"/>
      <protection locked="0"/>
    </xf>
    <xf numFmtId="0" fontId="0" fillId="6" borderId="3" xfId="0" applyFill="1" applyBorder="1" applyAlignment="1" applyProtection="1">
      <alignment vertical="center"/>
      <protection locked="0"/>
    </xf>
    <xf numFmtId="0" fontId="0" fillId="6" borderId="25" xfId="0" applyFill="1" applyBorder="1" applyAlignment="1" applyProtection="1">
      <alignment vertical="center"/>
      <protection locked="0"/>
    </xf>
    <xf numFmtId="1" fontId="4" fillId="0" borderId="0" xfId="0" applyNumberFormat="1" applyFont="1" applyAlignment="1">
      <alignment vertical="center"/>
    </xf>
    <xf numFmtId="0" fontId="8" fillId="6" borderId="3" xfId="0" applyFont="1" applyFill="1" applyBorder="1" applyAlignment="1" applyProtection="1">
      <alignment horizontal="center" vertical="center"/>
      <protection locked="0"/>
    </xf>
    <xf numFmtId="1" fontId="3" fillId="6" borderId="3" xfId="0" applyNumberFormat="1" applyFont="1" applyFill="1" applyBorder="1" applyAlignment="1" applyProtection="1">
      <alignment vertical="center"/>
      <protection locked="0"/>
    </xf>
    <xf numFmtId="0" fontId="0" fillId="6" borderId="19" xfId="0" applyFill="1" applyBorder="1" applyAlignment="1" applyProtection="1">
      <alignment vertical="center"/>
      <protection locked="0"/>
    </xf>
    <xf numFmtId="0" fontId="4" fillId="0" borderId="0" xfId="0" applyFont="1" applyAlignment="1">
      <alignment vertical="center"/>
    </xf>
    <xf numFmtId="0" fontId="7" fillId="0" borderId="0" xfId="0" applyFont="1" applyAlignment="1">
      <alignment vertical="center"/>
    </xf>
    <xf numFmtId="0" fontId="4" fillId="0" borderId="27" xfId="0" applyFont="1" applyBorder="1"/>
    <xf numFmtId="0" fontId="4" fillId="0" borderId="28" xfId="0" applyFont="1" applyBorder="1"/>
    <xf numFmtId="1" fontId="14" fillId="0" borderId="0" xfId="0" applyNumberFormat="1" applyFont="1" applyAlignment="1">
      <alignment horizontal="center"/>
    </xf>
    <xf numFmtId="1" fontId="15" fillId="0" borderId="0" xfId="0" applyNumberFormat="1" applyFont="1" applyAlignment="1">
      <alignment horizontal="center"/>
    </xf>
    <xf numFmtId="0" fontId="14" fillId="0" borderId="0" xfId="0" applyFont="1" applyAlignment="1">
      <alignment horizontal="center"/>
    </xf>
    <xf numFmtId="0" fontId="16" fillId="0" borderId="0" xfId="0" applyFont="1" applyAlignment="1">
      <alignment horizontal="center"/>
    </xf>
    <xf numFmtId="0" fontId="4" fillId="0" borderId="26" xfId="0" applyFont="1" applyBorder="1" applyAlignment="1">
      <alignment horizontal="left" vertical="center"/>
    </xf>
    <xf numFmtId="0" fontId="1" fillId="0" borderId="0" xfId="0" applyFont="1" applyAlignment="1">
      <alignment horizontal="right" vertical="center"/>
    </xf>
    <xf numFmtId="164" fontId="0" fillId="0" borderId="0" xfId="0" applyNumberFormat="1" applyAlignment="1" applyProtection="1">
      <alignment vertical="center"/>
      <protection locked="0"/>
    </xf>
    <xf numFmtId="1" fontId="4" fillId="0" borderId="0" xfId="0" applyNumberFormat="1" applyFont="1" applyAlignment="1">
      <alignment horizontal="center"/>
    </xf>
    <xf numFmtId="0" fontId="1" fillId="0" borderId="0" xfId="0" applyFont="1" applyAlignment="1">
      <alignment vertical="center"/>
    </xf>
    <xf numFmtId="1" fontId="4" fillId="0" borderId="0" xfId="0" applyNumberFormat="1" applyFont="1" applyAlignment="1">
      <alignment horizontal="right"/>
    </xf>
    <xf numFmtId="1" fontId="4" fillId="7" borderId="25" xfId="0" applyNumberFormat="1" applyFont="1" applyFill="1" applyBorder="1" applyAlignment="1">
      <alignment vertical="center"/>
    </xf>
    <xf numFmtId="1" fontId="4" fillId="8" borderId="25" xfId="0" applyNumberFormat="1" applyFont="1" applyFill="1" applyBorder="1"/>
    <xf numFmtId="0" fontId="12" fillId="0" borderId="2" xfId="0" applyFont="1" applyBorder="1" applyAlignment="1">
      <alignment horizontal="center"/>
    </xf>
    <xf numFmtId="0" fontId="2" fillId="0" borderId="24" xfId="0" applyFont="1" applyBorder="1" applyAlignment="1">
      <alignment horizontal="left"/>
    </xf>
    <xf numFmtId="0" fontId="1" fillId="0" borderId="2" xfId="0" applyFont="1" applyBorder="1" applyAlignment="1">
      <alignment horizontal="center"/>
    </xf>
    <xf numFmtId="1" fontId="4" fillId="0" borderId="2" xfId="0" applyNumberFormat="1" applyFont="1" applyBorder="1" applyAlignment="1">
      <alignment horizontal="center"/>
    </xf>
    <xf numFmtId="1" fontId="1" fillId="0" borderId="2" xfId="0" applyNumberFormat="1" applyFont="1" applyBorder="1" applyAlignment="1">
      <alignment horizontal="center"/>
    </xf>
    <xf numFmtId="0" fontId="0" fillId="6" borderId="31" xfId="0" applyFill="1" applyBorder="1" applyAlignment="1" applyProtection="1">
      <alignment vertical="center"/>
      <protection locked="0"/>
    </xf>
    <xf numFmtId="0" fontId="2" fillId="0" borderId="26" xfId="0" applyFont="1" applyBorder="1" applyAlignment="1">
      <alignment horizontal="left" vertical="center"/>
    </xf>
    <xf numFmtId="0" fontId="2" fillId="0" borderId="29" xfId="0" applyFont="1" applyBorder="1" applyAlignment="1">
      <alignment horizontal="left" vertical="center"/>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4" fillId="0" borderId="26" xfId="0" applyFont="1" applyBorder="1" applyAlignment="1">
      <alignment horizontal="center" vertical="center"/>
    </xf>
    <xf numFmtId="0" fontId="4" fillId="0" borderId="29"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25" b="1" i="0" u="none" strike="noStrike" baseline="0">
                <a:solidFill>
                  <a:srgbClr val="000000"/>
                </a:solidFill>
                <a:latin typeface="Arial"/>
                <a:ea typeface="Arial"/>
                <a:cs typeface="Arial"/>
              </a:defRPr>
            </a:pPr>
            <a:r>
              <a:rPr lang="en-US"/>
              <a:t>Preemption Timeline</a:t>
            </a:r>
          </a:p>
        </c:rich>
      </c:tx>
      <c:layout>
        <c:manualLayout>
          <c:xMode val="edge"/>
          <c:yMode val="edge"/>
          <c:x val="0.32220367278797996"/>
          <c:y val="2.5882352941176471E-2"/>
        </c:manualLayout>
      </c:layout>
      <c:overlay val="0"/>
      <c:spPr>
        <a:noFill/>
        <a:ln w="25400">
          <a:noFill/>
        </a:ln>
      </c:spPr>
    </c:title>
    <c:autoTitleDeleted val="0"/>
    <c:plotArea>
      <c:layout>
        <c:manualLayout>
          <c:layoutTarget val="inner"/>
          <c:xMode val="edge"/>
          <c:yMode val="edge"/>
          <c:x val="0.14858096828046743"/>
          <c:y val="0.10705888502923083"/>
          <c:w val="0.80801335559265441"/>
          <c:h val="0.66352979292841963"/>
        </c:manualLayout>
      </c:layout>
      <c:barChart>
        <c:barDir val="bar"/>
        <c:grouping val="stacked"/>
        <c:varyColors val="0"/>
        <c:ser>
          <c:idx val="0"/>
          <c:order val="0"/>
          <c:tx>
            <c:strRef>
              <c:f>Sample!$N$8</c:f>
              <c:strCache>
                <c:ptCount val="1"/>
                <c:pt idx="0">
                  <c:v>Gate Down</c:v>
                </c:pt>
              </c:strCache>
            </c:strRef>
          </c:tx>
          <c:spPr>
            <a:solidFill>
              <a:srgbClr val="FF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Sample!$O$5:$Q$7</c:f>
              <c:strCache>
                <c:ptCount val="3"/>
                <c:pt idx="0">
                  <c:v>Design
Vehicle</c:v>
                </c:pt>
                <c:pt idx="1">
                  <c:v>Traffic  
Signal  </c:v>
                </c:pt>
                <c:pt idx="2">
                  <c:v>Warning
Device</c:v>
                </c:pt>
              </c:strCache>
            </c:strRef>
          </c:cat>
          <c:val>
            <c:numRef>
              <c:f>Sample!$O$8:$Q$8</c:f>
              <c:numCache>
                <c:formatCode>General</c:formatCode>
                <c:ptCount val="3"/>
                <c:pt idx="2" formatCode="0">
                  <c:v>9</c:v>
                </c:pt>
              </c:numCache>
            </c:numRef>
          </c:val>
          <c:extLst>
            <c:ext xmlns:c16="http://schemas.microsoft.com/office/drawing/2014/chart" uri="{C3380CC4-5D6E-409C-BE32-E72D297353CC}">
              <c16:uniqueId val="{00000000-B843-4258-9BB8-294B772D38DB}"/>
            </c:ext>
          </c:extLst>
        </c:ser>
        <c:ser>
          <c:idx val="1"/>
          <c:order val="1"/>
          <c:tx>
            <c:strRef>
              <c:f>Sample!$N$9</c:f>
              <c:strCache>
                <c:ptCount val="1"/>
                <c:pt idx="0">
                  <c:v>Gate Descent</c:v>
                </c:pt>
              </c:strCache>
            </c:strRef>
          </c:tx>
          <c:spPr>
            <a:solidFill>
              <a:srgbClr val="FFCC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Sample!$O$5:$Q$7</c:f>
              <c:strCache>
                <c:ptCount val="3"/>
                <c:pt idx="0">
                  <c:v>Design
Vehicle</c:v>
                </c:pt>
                <c:pt idx="1">
                  <c:v>Traffic  
Signal  </c:v>
                </c:pt>
                <c:pt idx="2">
                  <c:v>Warning
Device</c:v>
                </c:pt>
              </c:strCache>
            </c:strRef>
          </c:cat>
          <c:val>
            <c:numRef>
              <c:f>Sample!$O$9:$Q$9</c:f>
              <c:numCache>
                <c:formatCode>General</c:formatCode>
                <c:ptCount val="3"/>
                <c:pt idx="2" formatCode="0">
                  <c:v>12</c:v>
                </c:pt>
              </c:numCache>
            </c:numRef>
          </c:val>
          <c:extLst>
            <c:ext xmlns:c16="http://schemas.microsoft.com/office/drawing/2014/chart" uri="{C3380CC4-5D6E-409C-BE32-E72D297353CC}">
              <c16:uniqueId val="{00000001-B843-4258-9BB8-294B772D38DB}"/>
            </c:ext>
          </c:extLst>
        </c:ser>
        <c:ser>
          <c:idx val="2"/>
          <c:order val="2"/>
          <c:tx>
            <c:strRef>
              <c:f>Sample!$N$10</c:f>
              <c:strCache>
                <c:ptCount val="1"/>
                <c:pt idx="0">
                  <c:v>Lights Flash</c:v>
                </c:pt>
              </c:strCache>
            </c:strRef>
          </c:tx>
          <c:spPr>
            <a:solidFill>
              <a:srgbClr val="FF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Sample!$O$5:$Q$7</c:f>
              <c:strCache>
                <c:ptCount val="3"/>
                <c:pt idx="0">
                  <c:v>Design
Vehicle</c:v>
                </c:pt>
                <c:pt idx="1">
                  <c:v>Traffic  
Signal  </c:v>
                </c:pt>
                <c:pt idx="2">
                  <c:v>Warning
Device</c:v>
                </c:pt>
              </c:strCache>
            </c:strRef>
          </c:cat>
          <c:val>
            <c:numRef>
              <c:f>Sample!$O$10:$Q$10</c:f>
              <c:numCache>
                <c:formatCode>General</c:formatCode>
                <c:ptCount val="3"/>
                <c:pt idx="2" formatCode="0">
                  <c:v>3</c:v>
                </c:pt>
              </c:numCache>
            </c:numRef>
          </c:val>
          <c:extLst>
            <c:ext xmlns:c16="http://schemas.microsoft.com/office/drawing/2014/chart" uri="{C3380CC4-5D6E-409C-BE32-E72D297353CC}">
              <c16:uniqueId val="{00000002-B843-4258-9BB8-294B772D38DB}"/>
            </c:ext>
          </c:extLst>
        </c:ser>
        <c:ser>
          <c:idx val="3"/>
          <c:order val="3"/>
          <c:tx>
            <c:strRef>
              <c:f>Sample!$N$11</c:f>
              <c:strCache>
                <c:ptCount val="1"/>
                <c:pt idx="0">
                  <c:v>Advance Vehicle</c:v>
                </c:pt>
              </c:strCache>
            </c:strRef>
          </c:tx>
          <c:spPr>
            <a:solidFill>
              <a:srgbClr val="CC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Sample!$O$5:$Q$7</c:f>
              <c:strCache>
                <c:ptCount val="3"/>
                <c:pt idx="0">
                  <c:v>Design
Vehicle</c:v>
                </c:pt>
                <c:pt idx="1">
                  <c:v>Traffic  
Signal  </c:v>
                </c:pt>
                <c:pt idx="2">
                  <c:v>Warning
Device</c:v>
                </c:pt>
              </c:strCache>
            </c:strRef>
          </c:cat>
          <c:val>
            <c:numRef>
              <c:f>Sample!$O$11:$Q$11</c:f>
              <c:numCache>
                <c:formatCode>General</c:formatCode>
                <c:ptCount val="3"/>
                <c:pt idx="2" formatCode="0">
                  <c:v>0</c:v>
                </c:pt>
              </c:numCache>
            </c:numRef>
          </c:val>
          <c:extLst>
            <c:ext xmlns:c16="http://schemas.microsoft.com/office/drawing/2014/chart" uri="{C3380CC4-5D6E-409C-BE32-E72D297353CC}">
              <c16:uniqueId val="{00000003-B843-4258-9BB8-294B772D38DB}"/>
            </c:ext>
          </c:extLst>
        </c:ser>
        <c:ser>
          <c:idx val="4"/>
          <c:order val="4"/>
          <c:tx>
            <c:strRef>
              <c:f>Sample!$N$12</c:f>
              <c:strCache>
                <c:ptCount val="1"/>
                <c:pt idx="0">
                  <c:v>Advance Pedestrian</c:v>
                </c:pt>
              </c:strCache>
            </c:strRef>
          </c:tx>
          <c:spPr>
            <a:solidFill>
              <a:srgbClr val="99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Sample!$O$5:$Q$7</c:f>
              <c:strCache>
                <c:ptCount val="3"/>
                <c:pt idx="0">
                  <c:v>Design
Vehicle</c:v>
                </c:pt>
                <c:pt idx="1">
                  <c:v>Traffic  
Signal  </c:v>
                </c:pt>
                <c:pt idx="2">
                  <c:v>Warning
Device</c:v>
                </c:pt>
              </c:strCache>
            </c:strRef>
          </c:cat>
          <c:val>
            <c:numRef>
              <c:f>Sample!$O$12:$Q$12</c:f>
              <c:numCache>
                <c:formatCode>General</c:formatCode>
                <c:ptCount val="3"/>
                <c:pt idx="2" formatCode="0">
                  <c:v>0</c:v>
                </c:pt>
              </c:numCache>
            </c:numRef>
          </c:val>
          <c:extLst>
            <c:ext xmlns:c16="http://schemas.microsoft.com/office/drawing/2014/chart" uri="{C3380CC4-5D6E-409C-BE32-E72D297353CC}">
              <c16:uniqueId val="{00000004-B843-4258-9BB8-294B772D38DB}"/>
            </c:ext>
          </c:extLst>
        </c:ser>
        <c:ser>
          <c:idx val="5"/>
          <c:order val="5"/>
          <c:tx>
            <c:strRef>
              <c:f>Sample!$N$13</c:f>
              <c:strCache>
                <c:ptCount val="1"/>
                <c:pt idx="0">
                  <c:v>Separation</c:v>
                </c:pt>
              </c:strCache>
            </c:strRef>
          </c:tx>
          <c:spPr>
            <a:solidFill>
              <a:schemeClr val="bg1">
                <a:lumMod val="75000"/>
              </a:scheme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Sample!$O$5:$Q$7</c:f>
              <c:strCache>
                <c:ptCount val="3"/>
                <c:pt idx="0">
                  <c:v>Design
Vehicle</c:v>
                </c:pt>
                <c:pt idx="1">
                  <c:v>Traffic  
Signal  </c:v>
                </c:pt>
                <c:pt idx="2">
                  <c:v>Warning
Device</c:v>
                </c:pt>
              </c:strCache>
            </c:strRef>
          </c:cat>
          <c:val>
            <c:numRef>
              <c:f>Sample!$O$13:$Q$13</c:f>
              <c:numCache>
                <c:formatCode>0</c:formatCode>
                <c:ptCount val="3"/>
                <c:pt idx="0">
                  <c:v>0</c:v>
                </c:pt>
                <c:pt idx="1">
                  <c:v>0</c:v>
                </c:pt>
              </c:numCache>
            </c:numRef>
          </c:val>
          <c:extLst>
            <c:ext xmlns:c16="http://schemas.microsoft.com/office/drawing/2014/chart" uri="{C3380CC4-5D6E-409C-BE32-E72D297353CC}">
              <c16:uniqueId val="{00000005-B843-4258-9BB8-294B772D38DB}"/>
            </c:ext>
          </c:extLst>
        </c:ser>
        <c:ser>
          <c:idx val="6"/>
          <c:order val="6"/>
          <c:tx>
            <c:strRef>
              <c:f>Sample!$N$14</c:f>
              <c:strCache>
                <c:ptCount val="1"/>
                <c:pt idx="0">
                  <c:v>Queue Clearance</c:v>
                </c:pt>
              </c:strCache>
            </c:strRef>
          </c:tx>
          <c:spPr>
            <a:solidFill>
              <a:srgbClr val="FF99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Sample!$O$5:$Q$7</c:f>
              <c:strCache>
                <c:ptCount val="3"/>
                <c:pt idx="0">
                  <c:v>Design
Vehicle</c:v>
                </c:pt>
                <c:pt idx="1">
                  <c:v>Traffic  
Signal  </c:v>
                </c:pt>
                <c:pt idx="2">
                  <c:v>Warning
Device</c:v>
                </c:pt>
              </c:strCache>
            </c:strRef>
          </c:cat>
          <c:val>
            <c:numRef>
              <c:f>Sample!$O$14:$Q$14</c:f>
              <c:numCache>
                <c:formatCode>General</c:formatCode>
                <c:ptCount val="3"/>
                <c:pt idx="0" formatCode="0">
                  <c:v>12</c:v>
                </c:pt>
              </c:numCache>
            </c:numRef>
          </c:val>
          <c:extLst>
            <c:ext xmlns:c16="http://schemas.microsoft.com/office/drawing/2014/chart" uri="{C3380CC4-5D6E-409C-BE32-E72D297353CC}">
              <c16:uniqueId val="{00000006-B843-4258-9BB8-294B772D38DB}"/>
            </c:ext>
          </c:extLst>
        </c:ser>
        <c:ser>
          <c:idx val="10"/>
          <c:order val="7"/>
          <c:tx>
            <c:strRef>
              <c:f>Sample!$N$15</c:f>
              <c:strCache>
                <c:ptCount val="1"/>
                <c:pt idx="0">
                  <c:v>Track Clear Green</c:v>
                </c:pt>
              </c:strCache>
            </c:strRef>
          </c:tx>
          <c:spPr>
            <a:solidFill>
              <a:srgbClr val="00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Sample!$O$5:$Q$7</c:f>
              <c:strCache>
                <c:ptCount val="3"/>
                <c:pt idx="0">
                  <c:v>Design
Vehicle</c:v>
                </c:pt>
                <c:pt idx="1">
                  <c:v>Traffic  
Signal  </c:v>
                </c:pt>
                <c:pt idx="2">
                  <c:v>Warning
Device</c:v>
                </c:pt>
              </c:strCache>
            </c:strRef>
          </c:cat>
          <c:val>
            <c:numRef>
              <c:f>Sample!$O$15:$Q$15</c:f>
              <c:numCache>
                <c:formatCode>0</c:formatCode>
                <c:ptCount val="3"/>
                <c:pt idx="1">
                  <c:v>16</c:v>
                </c:pt>
              </c:numCache>
            </c:numRef>
          </c:val>
          <c:extLst>
            <c:ext xmlns:c16="http://schemas.microsoft.com/office/drawing/2014/chart" uri="{C3380CC4-5D6E-409C-BE32-E72D297353CC}">
              <c16:uniqueId val="{00000007-B843-4258-9BB8-294B772D38DB}"/>
            </c:ext>
          </c:extLst>
        </c:ser>
        <c:ser>
          <c:idx val="7"/>
          <c:order val="8"/>
          <c:tx>
            <c:strRef>
              <c:f>Sample!$N$16</c:f>
              <c:strCache>
                <c:ptCount val="1"/>
                <c:pt idx="0">
                  <c:v>Yellow + All Red</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Sample!$O$5:$Q$7</c:f>
              <c:strCache>
                <c:ptCount val="3"/>
                <c:pt idx="0">
                  <c:v>Design
Vehicle</c:v>
                </c:pt>
                <c:pt idx="1">
                  <c:v>Traffic  
Signal  </c:v>
                </c:pt>
                <c:pt idx="2">
                  <c:v>Warning
Device</c:v>
                </c:pt>
              </c:strCache>
            </c:strRef>
          </c:cat>
          <c:val>
            <c:numRef>
              <c:f>Sample!$O$16:$Q$16</c:f>
              <c:numCache>
                <c:formatCode>0</c:formatCode>
                <c:ptCount val="3"/>
                <c:pt idx="1">
                  <c:v>6.5</c:v>
                </c:pt>
              </c:numCache>
            </c:numRef>
          </c:val>
          <c:extLst>
            <c:ext xmlns:c16="http://schemas.microsoft.com/office/drawing/2014/chart" uri="{C3380CC4-5D6E-409C-BE32-E72D297353CC}">
              <c16:uniqueId val="{00000008-B843-4258-9BB8-294B772D38DB}"/>
            </c:ext>
          </c:extLst>
        </c:ser>
        <c:ser>
          <c:idx val="8"/>
          <c:order val="9"/>
          <c:tx>
            <c:strRef>
              <c:f>Sample!$N$17</c:f>
              <c:strCache>
                <c:ptCount val="1"/>
                <c:pt idx="0">
                  <c:v>Minimum Green</c:v>
                </c:pt>
              </c:strCache>
            </c:strRef>
          </c:tx>
          <c:spPr>
            <a:solidFill>
              <a:srgbClr val="00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Sample!$O$5:$Q$7</c:f>
              <c:strCache>
                <c:ptCount val="3"/>
                <c:pt idx="0">
                  <c:v>Design
Vehicle</c:v>
                </c:pt>
                <c:pt idx="1">
                  <c:v>Traffic  
Signal  </c:v>
                </c:pt>
                <c:pt idx="2">
                  <c:v>Warning
Device</c:v>
                </c:pt>
              </c:strCache>
            </c:strRef>
          </c:cat>
          <c:val>
            <c:numRef>
              <c:f>Sample!$O$17:$Q$17</c:f>
              <c:numCache>
                <c:formatCode>0</c:formatCode>
                <c:ptCount val="3"/>
                <c:pt idx="1">
                  <c:v>0</c:v>
                </c:pt>
              </c:numCache>
            </c:numRef>
          </c:val>
          <c:extLst>
            <c:ext xmlns:c16="http://schemas.microsoft.com/office/drawing/2014/chart" uri="{C3380CC4-5D6E-409C-BE32-E72D297353CC}">
              <c16:uniqueId val="{00000009-B843-4258-9BB8-294B772D38DB}"/>
            </c:ext>
          </c:extLst>
        </c:ser>
        <c:ser>
          <c:idx val="9"/>
          <c:order val="10"/>
          <c:tx>
            <c:strRef>
              <c:f>Sample!$N$18</c:f>
              <c:strCache>
                <c:ptCount val="1"/>
                <c:pt idx="0">
                  <c:v>Ped Clearance</c:v>
                </c:pt>
              </c:strCache>
            </c:strRef>
          </c:tx>
          <c:spPr>
            <a:solidFill>
              <a:srgbClr val="FF66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Sample!$O$5:$Q$7</c:f>
              <c:strCache>
                <c:ptCount val="3"/>
                <c:pt idx="0">
                  <c:v>Design
Vehicle</c:v>
                </c:pt>
                <c:pt idx="1">
                  <c:v>Traffic  
Signal  </c:v>
                </c:pt>
                <c:pt idx="2">
                  <c:v>Warning
Device</c:v>
                </c:pt>
              </c:strCache>
            </c:strRef>
          </c:cat>
          <c:val>
            <c:numRef>
              <c:f>Sample!$O$18:$Q$18</c:f>
              <c:numCache>
                <c:formatCode>0</c:formatCode>
                <c:ptCount val="3"/>
                <c:pt idx="1">
                  <c:v>0</c:v>
                </c:pt>
              </c:numCache>
            </c:numRef>
          </c:val>
          <c:extLst>
            <c:ext xmlns:c16="http://schemas.microsoft.com/office/drawing/2014/chart" uri="{C3380CC4-5D6E-409C-BE32-E72D297353CC}">
              <c16:uniqueId val="{0000000A-B843-4258-9BB8-294B772D38DB}"/>
            </c:ext>
          </c:extLst>
        </c:ser>
        <c:ser>
          <c:idx val="13"/>
          <c:order val="11"/>
          <c:tx>
            <c:strRef>
              <c:f>Sample!$N$19</c:f>
              <c:strCache>
                <c:ptCount val="1"/>
                <c:pt idx="0">
                  <c:v>Walk</c:v>
                </c:pt>
              </c:strCache>
            </c:strRef>
          </c:tx>
          <c:spPr>
            <a:solidFill>
              <a:srgbClr val="00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Sample!$O$5:$Q$7</c:f>
              <c:strCache>
                <c:ptCount val="3"/>
                <c:pt idx="0">
                  <c:v>Design
Vehicle</c:v>
                </c:pt>
                <c:pt idx="1">
                  <c:v>Traffic  
Signal  </c:v>
                </c:pt>
                <c:pt idx="2">
                  <c:v>Warning
Device</c:v>
                </c:pt>
              </c:strCache>
            </c:strRef>
          </c:cat>
          <c:val>
            <c:numRef>
              <c:f>Sample!$O$19:$Q$19</c:f>
              <c:numCache>
                <c:formatCode>0</c:formatCode>
                <c:ptCount val="3"/>
                <c:pt idx="1">
                  <c:v>0</c:v>
                </c:pt>
              </c:numCache>
            </c:numRef>
          </c:val>
          <c:extLst>
            <c:ext xmlns:c16="http://schemas.microsoft.com/office/drawing/2014/chart" uri="{C3380CC4-5D6E-409C-BE32-E72D297353CC}">
              <c16:uniqueId val="{0000000B-B843-4258-9BB8-294B772D38DB}"/>
            </c:ext>
          </c:extLst>
        </c:ser>
        <c:ser>
          <c:idx val="11"/>
          <c:order val="12"/>
          <c:tx>
            <c:strRef>
              <c:f>Sample!$N$20</c:f>
              <c:strCache>
                <c:ptCount val="1"/>
                <c:pt idx="0">
                  <c:v>Queue Startup</c:v>
                </c:pt>
              </c:strCache>
            </c:strRef>
          </c:tx>
          <c:spPr>
            <a:solidFill>
              <a:srgbClr val="993366"/>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Sample!$O$5:$Q$7</c:f>
              <c:strCache>
                <c:ptCount val="3"/>
                <c:pt idx="0">
                  <c:v>Design
Vehicle</c:v>
                </c:pt>
                <c:pt idx="1">
                  <c:v>Traffic  
Signal  </c:v>
                </c:pt>
                <c:pt idx="2">
                  <c:v>Warning
Device</c:v>
                </c:pt>
              </c:strCache>
            </c:strRef>
          </c:cat>
          <c:val>
            <c:numRef>
              <c:f>Sample!$O$20:$Q$20</c:f>
              <c:numCache>
                <c:formatCode>0</c:formatCode>
                <c:ptCount val="3"/>
                <c:pt idx="0">
                  <c:v>4</c:v>
                </c:pt>
              </c:numCache>
            </c:numRef>
          </c:val>
          <c:extLst>
            <c:ext xmlns:c16="http://schemas.microsoft.com/office/drawing/2014/chart" uri="{C3380CC4-5D6E-409C-BE32-E72D297353CC}">
              <c16:uniqueId val="{0000000C-B843-4258-9BB8-294B772D38DB}"/>
            </c:ext>
          </c:extLst>
        </c:ser>
        <c:ser>
          <c:idx val="12"/>
          <c:order val="13"/>
          <c:tx>
            <c:strRef>
              <c:f>Sample!$N$21</c:f>
              <c:strCache>
                <c:ptCount val="1"/>
                <c:pt idx="0">
                  <c:v>Phase Omit</c:v>
                </c:pt>
              </c:strCache>
            </c:strRef>
          </c:tx>
          <c:spPr>
            <a:pattFill prst="wdUpDiag">
              <a:fgClr>
                <a:srgbClr val="FF0000"/>
              </a:fgClr>
              <a:bgClr>
                <a:schemeClr val="bg1"/>
              </a:bgClr>
            </a:pattFill>
            <a:ln>
              <a:solidFill>
                <a:srgbClr val="000000"/>
              </a:solidFill>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Sample!$O$5:$Q$7</c:f>
              <c:strCache>
                <c:ptCount val="3"/>
                <c:pt idx="0">
                  <c:v>Design
Vehicle</c:v>
                </c:pt>
                <c:pt idx="1">
                  <c:v>Traffic  
Signal  </c:v>
                </c:pt>
                <c:pt idx="2">
                  <c:v>Warning
Device</c:v>
                </c:pt>
              </c:strCache>
            </c:strRef>
          </c:cat>
          <c:val>
            <c:numRef>
              <c:f>Sample!$O$21:$Q$21</c:f>
              <c:numCache>
                <c:formatCode>0</c:formatCode>
                <c:ptCount val="3"/>
                <c:pt idx="1">
                  <c:v>1.5</c:v>
                </c:pt>
              </c:numCache>
            </c:numRef>
          </c:val>
          <c:extLst>
            <c:ext xmlns:c16="http://schemas.microsoft.com/office/drawing/2014/chart" uri="{C3380CC4-5D6E-409C-BE32-E72D297353CC}">
              <c16:uniqueId val="{0000000D-B843-4258-9BB8-294B772D38DB}"/>
            </c:ext>
          </c:extLst>
        </c:ser>
        <c:dLbls>
          <c:showLegendKey val="0"/>
          <c:showVal val="0"/>
          <c:showCatName val="0"/>
          <c:showSerName val="0"/>
          <c:showPercent val="0"/>
          <c:showBubbleSize val="0"/>
        </c:dLbls>
        <c:gapWidth val="100"/>
        <c:overlap val="100"/>
        <c:axId val="508033256"/>
        <c:axId val="1"/>
      </c:barChart>
      <c:catAx>
        <c:axId val="508033256"/>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in val="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200" b="1" i="0" u="none" strike="noStrike" baseline="0">
                    <a:solidFill>
                      <a:srgbClr val="000000"/>
                    </a:solidFill>
                    <a:latin typeface="Arial"/>
                    <a:ea typeface="Arial"/>
                    <a:cs typeface="Arial"/>
                  </a:defRPr>
                </a:pPr>
                <a:r>
                  <a:rPr lang="en-US"/>
                  <a:t>Time in Seconds</a:t>
                </a:r>
              </a:p>
            </c:rich>
          </c:tx>
          <c:layout>
            <c:manualLayout>
              <c:xMode val="edge"/>
              <c:yMode val="edge"/>
              <c:x val="0.44240400667779634"/>
              <c:y val="0.812941670526478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08033256"/>
        <c:crosses val="autoZero"/>
        <c:crossBetween val="between"/>
        <c:majorUnit val="5"/>
        <c:minorUnit val="1"/>
      </c:valAx>
      <c:spPr>
        <a:solidFill>
          <a:srgbClr val="FFFFFF"/>
        </a:solidFill>
        <a:ln w="12700">
          <a:solidFill>
            <a:srgbClr val="808080"/>
          </a:solidFill>
          <a:prstDash val="solid"/>
        </a:ln>
      </c:spPr>
    </c:plotArea>
    <c:legend>
      <c:legendPos val="b"/>
      <c:layout>
        <c:manualLayout>
          <c:xMode val="edge"/>
          <c:yMode val="edge"/>
          <c:x val="7.3455759599332218E-2"/>
          <c:y val="0.86352990582059597"/>
          <c:w val="0.87855647426375549"/>
          <c:h val="0.13233039987648609"/>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25" l="0.75" r="0.5" t="0.25" header="0.5" footer="0.5"/>
    <c:pageSetup orientation="portrait" horizontalDpi="300" verticalDpi="30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xdr:colOff>
      <xdr:row>2</xdr:row>
      <xdr:rowOff>28575</xdr:rowOff>
    </xdr:from>
    <xdr:to>
      <xdr:col>0</xdr:col>
      <xdr:colOff>6267450</xdr:colOff>
      <xdr:row>56</xdr:row>
      <xdr:rowOff>0</xdr:rowOff>
    </xdr:to>
    <xdr:sp macro="" textlink="">
      <xdr:nvSpPr>
        <xdr:cNvPr id="8193" name="Text Box 1">
          <a:extLst>
            <a:ext uri="{FF2B5EF4-FFF2-40B4-BE49-F238E27FC236}">
              <a16:creationId xmlns:a16="http://schemas.microsoft.com/office/drawing/2014/main" id="{1289D0A6-F46C-4790-873A-BE518BFFC567}"/>
            </a:ext>
          </a:extLst>
        </xdr:cNvPr>
        <xdr:cNvSpPr txBox="1">
          <a:spLocks noChangeArrowheads="1"/>
        </xdr:cNvSpPr>
      </xdr:nvSpPr>
      <xdr:spPr bwMode="auto">
        <a:xfrm>
          <a:off x="95250" y="352425"/>
          <a:ext cx="6172200" cy="86772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The Railroad Preemption Form is entirely contained on one worksheet within an Excel workbook. If Additional approaches to the crossing are analyzed, the worksheet can be copied within the workbook to provide the appropriate analysis of the crossing. To copy the worksheet, right click on the worksheet tab, select “Move or Copy”, select the “Create a Copy” checkbox, and select OK. Once copied, rename the worksheet by right clicking on the new tab, and selecting “Rename”. Type in the appropriate name to identify the approach or crossing that is to be analyzed. The data entry process is broken into two sections: Highway and Traffic Signal specific information in yellow boxes and Railroad specific information in blue boxes.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Section 1 consists of the entries specific to the highway and traffic signal system.</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Part 1 contains entries for Approach Storage Distance (ASD), Maximum Approach Move Distance (MAMD), Maximum Conflicting Move Distance (MCMD), Minimum Track Clearance Distance (MTCD), Clear Storage Distance (CSD) and Grade. The Maximum Approach Move Distance is the distance (in feet) from the farthest intersection limit line towards the crossing. The Maximum Conflicting Move Distance is the longest distance (in feet) across the adjacent intersection that crosses the path of the track clearance phase. The Approach Storage Distance (ASD) is measured from the intersection crosswalk or closest lane to the railroad limit line along the roadway towards the crossing. These are used to determine the time require for a design vehicle to clear the intersection prior to activation of the railroad warning devices or display of track clearance green. If these moves are on an uphill grade, enter the percent grade in the adjacent box labeled Grade. If the ASD is greater than the largest Design Vehicle length, then the MAMD does not influence the preemption calculation. If the "Include MCMD per Diagnostic Team?" Yes/No selection is set to "No", then the MCMD does not influence the preemption calculation. Use this selection when the Diagnostic Team has determined that the MCMD is not needed for the preemption calculation. The MTCD is defined to be the distance (in feet) from the railroad warning device limit line or gate to a point 6 feet past the far rail. The CSD is the distance (in feet) from a point 6 feet past the far rail to the intersection limit line. The sum of the MTCD and CSD values determine the length (L). This is the total distance from the railroad warning device limit line or gate to the intersection limit line. If there is an uphill grade at the crossing, enter the percent grade in the adjacent box labeled Grade.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Part 2 contains information specific to the vehicle characteristics used in the calculation of the MTCD Queue Clearance Time. The default values provided on the form are standard for the types of vehicles shown. These should not be changed unless evaluation of specific vehicle lengths and heights is required. The information regarding the vehicle characteristics is used in the calculation of the vehicle times below the characteristic cells. These values are computed by the spreadsheet and cannot be changed by the user. The row beneath these calculated cells provides an “Include as Design Vehicle?” Yes/No selection for each vehicle type. If the highway is restricted to certain classes of vehicles, the user may choose to not include a particular type of vehicle by selecting “No”. Typically, all vehicle types should be included in the calculations if they are permitted on the highway.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Part 3 contains the calculations for Green Track Clearance Time and MTCD Queue Clearance Time. These are displayed in the green and pink boxes immediately below the Part 2. These are the minimum amount of time necessary to display a track clearance green to clear the MTCD of a queue of vehicles.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following entries are specific to traffic signal timing.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The Minimum Walk time is the minimum amount of walk time that must be completed prior to entry into railroad preemption. This can be set to zero or more seconds based on the desired operation of the traffic signal during entry into preemption. </a:t>
          </a:r>
        </a:p>
        <a:p>
          <a:pPr algn="l" rtl="0">
            <a:defRPr sz="1000"/>
          </a:pPr>
          <a:r>
            <a:rPr lang="en-US" sz="1000" b="0" i="0" u="none" strike="noStrike" baseline="0">
              <a:solidFill>
                <a:srgbClr val="000000"/>
              </a:solidFill>
              <a:latin typeface="Arial"/>
              <a:cs typeface="Arial"/>
            </a:rPr>
            <a:t>b. The Maximum Ped Clear is the longest pedestrian clearance time that must be completed prior to entry into preemption. This can be set to zero or more seconds based on the desired operation of the traffic signal during entry into preemption. This is typically the Flashing Don't Walk time setting in the controller. The Yellow + All Red time is added to the Maximum Ped Clear time to obtain the total pedestrian clearance time which reduces the amount of time required during transition into preemption operation.</a:t>
          </a:r>
        </a:p>
        <a:p>
          <a:pPr algn="l" rtl="0">
            <a:defRPr sz="1000"/>
          </a:pPr>
          <a:r>
            <a:rPr lang="en-US" sz="1000" b="0" i="0" u="none" strike="noStrike" baseline="0">
              <a:solidFill>
                <a:srgbClr val="000000"/>
              </a:solidFill>
              <a:latin typeface="Arial"/>
              <a:cs typeface="Arial"/>
            </a:rPr>
            <a:t>c. The Minimum Green is the minimum amount of time a green signal must be displayed prior to entry into railroad preemption. This can be set to zero or more seconds based on the desired operation of the traffic signal during entry into preemption. </a:t>
          </a:r>
        </a:p>
        <a:p>
          <a:pPr algn="l" rtl="0">
            <a:defRPr sz="1000"/>
          </a:pPr>
          <a:r>
            <a:rPr lang="en-US" sz="1000" b="0" i="0" u="none" strike="noStrike" baseline="0">
              <a:solidFill>
                <a:srgbClr val="000000"/>
              </a:solidFill>
              <a:latin typeface="Arial"/>
              <a:cs typeface="Arial"/>
            </a:rPr>
            <a:t>d. The Maximum Yellow + All Red is the maximum amount of yellow and all red time that must be displayed prior to entry into preemption. This must be set to 3.0 seconds or more on the traffic signal controller time settings. </a:t>
          </a:r>
        </a:p>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5</xdr:col>
      <xdr:colOff>161925</xdr:colOff>
      <xdr:row>20</xdr:row>
      <xdr:rowOff>0</xdr:rowOff>
    </xdr:from>
    <xdr:to>
      <xdr:col>5</xdr:col>
      <xdr:colOff>238125</xdr:colOff>
      <xdr:row>21</xdr:row>
      <xdr:rowOff>38100</xdr:rowOff>
    </xdr:to>
    <xdr:sp macro="" textlink="">
      <xdr:nvSpPr>
        <xdr:cNvPr id="8215" name="Text Box 3">
          <a:extLst>
            <a:ext uri="{FF2B5EF4-FFF2-40B4-BE49-F238E27FC236}">
              <a16:creationId xmlns:a16="http://schemas.microsoft.com/office/drawing/2014/main" id="{A5C9BF81-841B-40D0-9EAA-83410CF30EBA}"/>
            </a:ext>
          </a:extLst>
        </xdr:cNvPr>
        <xdr:cNvSpPr txBox="1">
          <a:spLocks noChangeArrowheads="1"/>
        </xdr:cNvSpPr>
      </xdr:nvSpPr>
      <xdr:spPr bwMode="auto">
        <a:xfrm>
          <a:off x="20412075" y="32004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495300</xdr:colOff>
      <xdr:row>16</xdr:row>
      <xdr:rowOff>28575</xdr:rowOff>
    </xdr:from>
    <xdr:to>
      <xdr:col>5</xdr:col>
      <xdr:colOff>19050</xdr:colOff>
      <xdr:row>17</xdr:row>
      <xdr:rowOff>66675</xdr:rowOff>
    </xdr:to>
    <xdr:sp macro="" textlink="">
      <xdr:nvSpPr>
        <xdr:cNvPr id="8216" name="Text Box 4">
          <a:extLst>
            <a:ext uri="{FF2B5EF4-FFF2-40B4-BE49-F238E27FC236}">
              <a16:creationId xmlns:a16="http://schemas.microsoft.com/office/drawing/2014/main" id="{D1D71AB9-5F2B-418D-B07B-AE1904623423}"/>
            </a:ext>
          </a:extLst>
        </xdr:cNvPr>
        <xdr:cNvSpPr txBox="1">
          <a:spLocks noChangeArrowheads="1"/>
        </xdr:cNvSpPr>
      </xdr:nvSpPr>
      <xdr:spPr bwMode="auto">
        <a:xfrm>
          <a:off x="20193000" y="25812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95250</xdr:colOff>
      <xdr:row>2</xdr:row>
      <xdr:rowOff>28575</xdr:rowOff>
    </xdr:from>
    <xdr:to>
      <xdr:col>1</xdr:col>
      <xdr:colOff>6305550</xdr:colOff>
      <xdr:row>56</xdr:row>
      <xdr:rowOff>0</xdr:rowOff>
    </xdr:to>
    <xdr:sp macro="" textlink="">
      <xdr:nvSpPr>
        <xdr:cNvPr id="8197" name="Text Box 5">
          <a:extLst>
            <a:ext uri="{FF2B5EF4-FFF2-40B4-BE49-F238E27FC236}">
              <a16:creationId xmlns:a16="http://schemas.microsoft.com/office/drawing/2014/main" id="{F5D509A3-B2D5-4891-BE81-3AC69EE4DE8F}"/>
            </a:ext>
          </a:extLst>
        </xdr:cNvPr>
        <xdr:cNvSpPr txBox="1">
          <a:spLocks noChangeArrowheads="1"/>
        </xdr:cNvSpPr>
      </xdr:nvSpPr>
      <xdr:spPr bwMode="auto">
        <a:xfrm>
          <a:off x="6477000" y="352425"/>
          <a:ext cx="6210300" cy="86772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a:r>
            <a:rPr lang="en-US" sz="1000" b="0" i="0" baseline="0">
              <a:effectLst/>
              <a:latin typeface="Arial" panose="020B0604020202020204" pitchFamily="34" charset="0"/>
              <a:ea typeface="+mn-ea"/>
              <a:cs typeface="Arial" panose="020B0604020202020204" pitchFamily="34" charset="0"/>
            </a:rPr>
            <a:t>e. The Maximum RWTT (Right of Way Transfer Time) is calculated as the maximum  amount of time it takes the controller to transfer from its current phase to the railroad track clearance phase based on the timing parameters entered above. </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f. Separation Time (ST) is additional time that can be provided between the time the traffic clears the track and the train arrival at the crossing. This is determined by the engineering judgment, and can be set to zero or more second. Values of 4 to 8 seconds are typically used. </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g. The Maximum Preemption Time (MPT) is calculated to be the total of MTCD Queue Clearance Time, Maximum RWTT and Separation Time (ST). This is how much time in advance of a train arriving at the crossing that the traffic signal needs to be notified to provide sufficient track clearance green time.</a:t>
          </a:r>
        </a:p>
        <a:p>
          <a:pPr rtl="0"/>
          <a:r>
            <a:rPr lang="en-US" sz="1000" b="0" i="0" baseline="0">
              <a:effectLst/>
              <a:latin typeface="Arial" panose="020B0604020202020204" pitchFamily="34" charset="0"/>
              <a:ea typeface="+mn-ea"/>
              <a:cs typeface="Arial" panose="020B0604020202020204" pitchFamily="34" charset="0"/>
            </a:rPr>
            <a:t> </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Section 2 consists of the entries specific to the railroad warning system. These can be obtained from the railroad at existing crossings or determined with the railroad for new designs.</a:t>
          </a:r>
          <a:endParaRPr lang="en-US" sz="1000">
            <a:effectLst/>
            <a:latin typeface="Arial" panose="020B0604020202020204" pitchFamily="34" charset="0"/>
            <a:cs typeface="Arial" panose="020B0604020202020204" pitchFamily="34" charset="0"/>
          </a:endParaRPr>
        </a:p>
        <a:p>
          <a:pPr rtl="0"/>
          <a:endParaRPr lang="en-US" sz="1000" b="0" i="0" baseline="0">
            <a:effectLst/>
            <a:latin typeface="Arial" panose="020B0604020202020204" pitchFamily="34" charset="0"/>
            <a:ea typeface="+mn-ea"/>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a. The Lights Flash time is the amount of time the railroad warning lights flash once activated before the gates begin to descend. This must be set to at least 3 seconds and can be as high a 9 seconds. </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b. The Gate Descent time is the amount of time it takes the entrance gates to move from the vertical position to the horizontal position. This must be set to at least 8 seconds and can be as high as 20 seconds. </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c. The Minimum Time (MT) is the minimum amount of time the crossing warning system is activated prior to train arrival at the crossing. This must be set to at least 20 seconds.</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d. Clearance Time (CT) is additional warning time provided for wide crossings or other site-specific conditions. This can be set to zero or more seconds. Based on the MTCD entered at the top of the form, a minimum suggested value will be displayed to the right of this entry. The suggested value is based on the requirement that crossings more than 35 feet wide need one second of Clearance Time for each additional 10 feet of width.</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e. Minimum Warning Time (MWT) is computed from these entries, which is the minimum amount of time that the warning system is activated prior to train arrival at the crossing. </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f. Buffer Time (BT) is discretionary time added by the railroad to account for train handling. This can be set to zero or more seconds. </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g. Equipment Response Time (ERTC+ERTD) is the is the amount of time the railroad train detection equipment needs for Control (ERTC) and Delay (ERTD) prior to initiating activation of the warning device control equipment. This can be set to zero or more seconds, and is determined by the railroad based on the type of crossing control equipment used. </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h. Programmed Warning Time (PWT) is obtained by adding Buffer Time (BT) and Equipment Response Time (ERTC+ERTD) to Minimum Warning Time (MWT), which is the normal amount of warning time in advance of a through train arriving at the crossing</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i. The entry “Include vehicle-gate interaction check?” is a Yes/No selection that the user can choose to adjust the Advance Vehicle Preemption Time (AVPT) so the largest design vehicle will not be hit by the gates. This check is optional, but recommended to ensure that the design vehicle has sufficient time to move out of the path of the descending gates. </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j. The “Distance from gate to vehicle” is required with a “Yes” selection on item i. This is the distance between the side of the design vehicle and the center of gate mast. This must be set to at least 4 feet and can be as much as 20 feet depending on lane width and gate setback.</a:t>
          </a:r>
        </a:p>
        <a:p>
          <a:pPr rtl="0"/>
          <a:r>
            <a:rPr lang="en-US" sz="1000" b="0" i="0" baseline="0">
              <a:effectLst/>
              <a:latin typeface="Arial" panose="020B0604020202020204" pitchFamily="34" charset="0"/>
              <a:ea typeface="+mn-ea"/>
              <a:cs typeface="Arial" panose="020B0604020202020204" pitchFamily="34" charset="0"/>
            </a:rPr>
            <a:t> </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The resultant Advance Vehicle Preemption Time (AVPT) and Advance Pedestrian Preemption Time (APPT) is shown in the purple and blue boxes, and represents the time before warning system activation that the traffic signal needs to be notified of an approaching train to provide sufficient queue clearance time. If the vehicle gate interaction check is set to No, then the AVPT is the difference between the Maximum Preemption Time (MPT) and the Minimum Warning Time (MWT). If the vehicle-gate interaction check is set to “Yes”, then the AVPT is calculated so the largest design vehicle has enough time to start up and move before the descending gate hits the vehicle. This will usually result in a larger AVPT than when the vehicle-gate interaction check is not performed. This may adjust the Green Track Clearance time and the Separation Time (ST) to account for the additional AVPT. A note is shown in red on the form if an adjustment is made. The Advance Pedestrian Preemption Time (APPT) is that portion of the Advance Vehicle Preemption Time (AVPT) which is directly associated with the pedestrian clearance time entered in Section 1, Part 3.</a:t>
          </a:r>
          <a:endParaRPr lang="en-US" sz="1000">
            <a:effectLst/>
            <a:latin typeface="Arial" panose="020B0604020202020204" pitchFamily="34" charset="0"/>
            <a:cs typeface="Arial" panose="020B0604020202020204" pitchFamily="34" charset="0"/>
          </a:endParaRPr>
        </a:p>
      </xdr:txBody>
    </xdr:sp>
    <xdr:clientData/>
  </xdr:twoCellAnchor>
  <xdr:twoCellAnchor>
    <xdr:from>
      <xdr:col>2</xdr:col>
      <xdr:colOff>95250</xdr:colOff>
      <xdr:row>2</xdr:row>
      <xdr:rowOff>28575</xdr:rowOff>
    </xdr:from>
    <xdr:to>
      <xdr:col>2</xdr:col>
      <xdr:colOff>6229350</xdr:colOff>
      <xdr:row>56</xdr:row>
      <xdr:rowOff>0</xdr:rowOff>
    </xdr:to>
    <xdr:sp macro="" textlink="">
      <xdr:nvSpPr>
        <xdr:cNvPr id="8198" name="Text Box 6">
          <a:extLst>
            <a:ext uri="{FF2B5EF4-FFF2-40B4-BE49-F238E27FC236}">
              <a16:creationId xmlns:a16="http://schemas.microsoft.com/office/drawing/2014/main" id="{73EAE92A-A724-4D0D-94C2-74C5D09306DD}"/>
            </a:ext>
          </a:extLst>
        </xdr:cNvPr>
        <xdr:cNvSpPr txBox="1">
          <a:spLocks noChangeArrowheads="1"/>
        </xdr:cNvSpPr>
      </xdr:nvSpPr>
      <xdr:spPr bwMode="auto">
        <a:xfrm>
          <a:off x="12858750" y="352425"/>
          <a:ext cx="6134100" cy="86772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a:r>
            <a:rPr lang="en-US" sz="1000" b="0" i="0" baseline="0">
              <a:effectLst/>
              <a:latin typeface="Arial" panose="020B0604020202020204" pitchFamily="34" charset="0"/>
              <a:ea typeface="+mn-ea"/>
              <a:cs typeface="Arial" panose="020B0604020202020204" pitchFamily="34" charset="0"/>
            </a:rPr>
            <a:t>The last two railroad parameters are use to determine the length of approach circuits necessary to provide the calculated Advance Pedestrian Preemption Time (APPT) or Advance Vehicle Preemption Time (AVPT) if there is no pedestrian clearance time.</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 </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a. The Equipment Response Time (ERTA) is the amount of time the railroad train detection equipment needs once a train has entered the track circuit before it can be acted upon. This can be set to zero or more seconds, and is typically between 2 and 5 seconds depending on the type of train detection equipment used. </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b. System Design Time (SDT) is obtained by adding the Programmed Warning Time (PWT), the Advance Vehicle Preemption Time (AVPT), Advance Pedestrian Preemption Time (APPT) and  Equipment Response Time (ERTA).</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c. Maximum Authorized Speed (MAS), is the highest speed trains are allowed to operate on the approach to the crossing. This must be set to at least 5 miles per hour and can be as high as 100 miles per hour. </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d. The Total Approach Distance (TAD) is obtained by multiplying the System DesignTime (SDT) by the Maximum Authorized Speed (MAS). This is the required length of the approach circuit.</a:t>
          </a:r>
        </a:p>
        <a:p>
          <a:pPr rtl="0"/>
          <a:r>
            <a:rPr lang="en-US" sz="1000" b="0" i="0" baseline="0">
              <a:effectLst/>
              <a:latin typeface="Arial" panose="020B0604020202020204" pitchFamily="34" charset="0"/>
              <a:ea typeface="+mn-ea"/>
              <a:cs typeface="Arial" panose="020B0604020202020204" pitchFamily="34" charset="0"/>
            </a:rPr>
            <a:t> </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Preemption Timeline</a:t>
          </a:r>
          <a:endParaRPr lang="en-US" sz="1000">
            <a:effectLst/>
            <a:latin typeface="Arial" panose="020B0604020202020204" pitchFamily="34" charset="0"/>
            <a:cs typeface="Arial" panose="020B0604020202020204" pitchFamily="34" charset="0"/>
          </a:endParaRPr>
        </a:p>
        <a:p>
          <a:pPr rtl="0"/>
          <a:endParaRPr lang="en-US" sz="1000" b="0" i="0" baseline="0">
            <a:effectLst/>
            <a:latin typeface="Arial" panose="020B0604020202020204" pitchFamily="34" charset="0"/>
            <a:ea typeface="+mn-ea"/>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With the data entry completed, the Preemption Timeline will display the time relationships between the railroad Warning Device, Traffic Signal and the Design Vehicle. The timeline is read from right to left, with the leftmost time zero being train arrival at the crossing. The timeline is a graphical representation of the sequence of events leading up to the train arriving at the crossing, and can be used to determine if the preemption timings entered are adequate.</a:t>
          </a:r>
          <a:endParaRPr lang="en-US" sz="1000">
            <a:effectLst/>
            <a:latin typeface="Arial" panose="020B0604020202020204" pitchFamily="34" charset="0"/>
            <a:cs typeface="Arial" panose="020B0604020202020204" pitchFamily="34" charset="0"/>
          </a:endParaRPr>
        </a:p>
        <a:p>
          <a:pPr rtl="0"/>
          <a:endParaRPr lang="en-US" sz="1000" b="0" i="0" baseline="0">
            <a:effectLst/>
            <a:latin typeface="Arial" panose="020B0604020202020204" pitchFamily="34" charset="0"/>
            <a:ea typeface="+mn-ea"/>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If a Phase Omit interval is shown on the Traffic Signal timeline, then the Maximum Approach Move Distance and/or the Maximum Conflicting Move Distance govern the advance preemption time at the intersection. This means that the traffic signal should not start the approach or conflicting moves during this time to prevent a design vehicle from being stopped at the crossing or blocking the track clearance phase. Appropriate settings in the traffic signal controller should be made to account for this situation at the start of the preemption. </a:t>
          </a:r>
          <a:endParaRPr lang="en-US" sz="1000">
            <a:effectLst/>
            <a:latin typeface="Arial" panose="020B0604020202020204" pitchFamily="34" charset="0"/>
            <a:cs typeface="Arial" panose="020B0604020202020204" pitchFamily="34" charset="0"/>
          </a:endParaRPr>
        </a:p>
        <a:p>
          <a:pPr rtl="0"/>
          <a:endParaRPr lang="en-US" sz="1000" b="0" i="0" baseline="0">
            <a:effectLst/>
            <a:latin typeface="Arial" panose="020B0604020202020204" pitchFamily="34" charset="0"/>
            <a:ea typeface="+mn-ea"/>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Note that the Green Track Clearance time shown on the Preemption Timeline may be less than the value calculated on the form if it extends beyond the arrival of the train at the crossing. This can occur when a large Clear Storage Distance (CSD) exists, and the value shown on the form should be used for the track clearance green time. Also note that the MTCD Queue Clearance Time calculated on the form is shown in two parts on the preemption timeline: Queue Startup and Queue Clearance. This illustrates the portion of time that is needed before the last design vehicle within length (L) begins to move as well as the time it takes the design vehicle to move through the MTCD. The sum of these two parts is equal to the MTCD Queue Clearance Time shown on the form.</a:t>
          </a:r>
          <a:endParaRPr lang="en-US" sz="1000">
            <a:effectLst/>
            <a:latin typeface="Arial" panose="020B0604020202020204" pitchFamily="34" charset="0"/>
            <a:cs typeface="Arial" panose="020B0604020202020204" pitchFamily="34" charset="0"/>
          </a:endParaRPr>
        </a:p>
        <a:p>
          <a:pPr rtl="0"/>
          <a:endParaRPr lang="en-US" sz="1000" b="0" i="0" baseline="0">
            <a:effectLst/>
            <a:latin typeface="Arial" panose="020B0604020202020204" pitchFamily="34" charset="0"/>
            <a:ea typeface="+mn-ea"/>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Below the timeline is the “Preemption Timeline displays Minimum RWTT?” Yes/No selection box. Normally this is set to “No” and the preemption timeline displays the worst-case Maximum RWTT time that was used to determine the Advance Vehicle Preemption Time (AVPT)and Advance Pedestrian Preemption Time (APPT).  Selecting “Yes” will cause the timeline to display the best-case Minimum RWTT time, and can be used to show the variability in preemption timing. Care should be taken when the Maximum RWTT time is large to ensure that track clearance green does not end prior to the warning system activation or vehicles may become trapped on the tracks. If the vehicle-gate interaction check is set to “Yes”, then track clearance green is automatically extended to the point when the gates are horizontal to specifically prevent vehicles from becoming trapped on the tracks. This requires either the programming of a longer track clearance green time, the use of a controller that is capable of dynamically adjusting the track clearance green time to account for RWTT variability, or an interconnection between the railroad system and the traffic signal that does not allow the track clearance green to end until the gates are down.</a:t>
          </a:r>
          <a:endParaRPr lang="en-US" sz="1000">
            <a:effectLst/>
            <a:latin typeface="Arial" panose="020B0604020202020204" pitchFamily="34" charset="0"/>
            <a:cs typeface="Arial" panose="020B0604020202020204" pitchFamily="34" charset="0"/>
          </a:endParaRPr>
        </a:p>
        <a:p>
          <a:pPr rtl="0"/>
          <a:endParaRPr lang="en-US" sz="1000" b="0" i="0">
            <a:effectLst/>
            <a:latin typeface="Arial" panose="020B0604020202020204" pitchFamily="34" charset="0"/>
            <a:ea typeface="+mn-ea"/>
            <a:cs typeface="Arial" panose="020B0604020202020204" pitchFamily="34" charset="0"/>
          </a:endParaRPr>
        </a:p>
        <a:p>
          <a:pPr rtl="0"/>
          <a:r>
            <a:rPr lang="en-US" sz="1000" b="0" i="0">
              <a:effectLst/>
              <a:latin typeface="Arial" panose="020B0604020202020204" pitchFamily="34" charset="0"/>
              <a:ea typeface="+mn-ea"/>
              <a:cs typeface="Arial" panose="020B0604020202020204" pitchFamily="34" charset="0"/>
            </a:rPr>
            <a:t>This form seeks to minimize the AVPT calculation to be in line with the AREMA 50-second Recommended Practice. In doing so, portions of the minimum green time specified on the form may be included in the APPT calculation whenever possible. This is done so that the controller can take advantage of the APPT to begin part of the RWTT. It should be noted that this requires a controller which is capable of Interval Control, or other means of manipulating phases prior to activation of APT. Controllers that don't support Interval</a:t>
          </a:r>
          <a:r>
            <a:rPr lang="en-US" sz="1000" b="0" i="0" baseline="0">
              <a:effectLst/>
              <a:latin typeface="Arial" panose="020B0604020202020204" pitchFamily="34" charset="0"/>
              <a:ea typeface="+mn-ea"/>
              <a:cs typeface="Arial" panose="020B0604020202020204" pitchFamily="34" charset="0"/>
            </a:rPr>
            <a:t> Control may require additional APT</a:t>
          </a:r>
          <a:r>
            <a:rPr lang="en-US" sz="1000" b="0" i="0">
              <a:effectLst/>
              <a:latin typeface="Arial" panose="020B0604020202020204" pitchFamily="34" charset="0"/>
              <a:ea typeface="+mn-ea"/>
              <a:cs typeface="Arial" panose="020B0604020202020204" pitchFamily="34" charset="0"/>
            </a:rPr>
            <a:t>.</a:t>
          </a:r>
          <a:endParaRPr lang="en-US" sz="1000">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xdr:colOff>
      <xdr:row>1</xdr:row>
      <xdr:rowOff>200025</xdr:rowOff>
    </xdr:from>
    <xdr:to>
      <xdr:col>19</xdr:col>
      <xdr:colOff>0</xdr:colOff>
      <xdr:row>54</xdr:row>
      <xdr:rowOff>0</xdr:rowOff>
    </xdr:to>
    <xdr:graphicFrame macro="">
      <xdr:nvGraphicFramePr>
        <xdr:cNvPr id="2" name="Chart 1">
          <a:extLst>
            <a:ext uri="{FF2B5EF4-FFF2-40B4-BE49-F238E27FC236}">
              <a16:creationId xmlns:a16="http://schemas.microsoft.com/office/drawing/2014/main" id="{27E04801-016B-4848-8922-FB6643F3B3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7"/>
  <sheetViews>
    <sheetView workbookViewId="0">
      <selection activeCell="F31" sqref="F31"/>
    </sheetView>
  </sheetViews>
  <sheetFormatPr defaultRowHeight="13.2" x14ac:dyDescent="0.25"/>
  <cols>
    <col min="1" max="16" width="4.5546875" bestFit="1" customWidth="1"/>
  </cols>
  <sheetData>
    <row r="1" spans="1:16" x14ac:dyDescent="0.25">
      <c r="B1" s="42">
        <v>0</v>
      </c>
      <c r="C1" s="43">
        <v>0.02</v>
      </c>
      <c r="D1" s="43">
        <v>0.04</v>
      </c>
      <c r="E1" s="43">
        <v>0.06</v>
      </c>
      <c r="F1" s="44">
        <v>0.08</v>
      </c>
      <c r="G1" s="42">
        <v>0</v>
      </c>
      <c r="H1" s="43">
        <v>0.02</v>
      </c>
      <c r="I1" s="43">
        <v>0.04</v>
      </c>
      <c r="J1" s="43">
        <v>0.06</v>
      </c>
      <c r="K1" s="44">
        <v>0.08</v>
      </c>
      <c r="L1" s="42">
        <v>0</v>
      </c>
      <c r="M1" s="43">
        <v>0.02</v>
      </c>
      <c r="N1" s="43">
        <v>0.04</v>
      </c>
      <c r="O1" s="43">
        <v>0.06</v>
      </c>
      <c r="P1" s="44">
        <v>0.08</v>
      </c>
    </row>
    <row r="2" spans="1:16" x14ac:dyDescent="0.25">
      <c r="A2" s="45">
        <v>25</v>
      </c>
      <c r="B2" s="24">
        <v>1</v>
      </c>
      <c r="C2" s="25">
        <v>1</v>
      </c>
      <c r="D2" s="25">
        <v>1.06</v>
      </c>
      <c r="E2" s="25">
        <v>1.1299999999999999</v>
      </c>
      <c r="F2" s="26">
        <v>1.19</v>
      </c>
      <c r="G2" s="24">
        <v>1</v>
      </c>
      <c r="H2" s="25">
        <v>1.01</v>
      </c>
      <c r="I2" s="25">
        <v>1.1000000000000001</v>
      </c>
      <c r="J2" s="25">
        <v>1.19</v>
      </c>
      <c r="K2" s="26">
        <v>1.28</v>
      </c>
      <c r="L2" s="24">
        <v>1</v>
      </c>
      <c r="M2" s="25">
        <v>1.0900000000000001</v>
      </c>
      <c r="N2" s="25">
        <v>1.27</v>
      </c>
      <c r="O2" s="25">
        <v>1.42</v>
      </c>
      <c r="P2" s="26">
        <v>1.55</v>
      </c>
    </row>
    <row r="3" spans="1:16" x14ac:dyDescent="0.25">
      <c r="A3" s="46">
        <v>50</v>
      </c>
      <c r="B3" s="27">
        <v>1</v>
      </c>
      <c r="C3" s="28">
        <v>1</v>
      </c>
      <c r="D3" s="28">
        <v>1.0900000000000001</v>
      </c>
      <c r="E3" s="28">
        <v>1.17</v>
      </c>
      <c r="F3" s="29">
        <v>1.25</v>
      </c>
      <c r="G3" s="27">
        <v>1</v>
      </c>
      <c r="H3" s="28">
        <v>1.01</v>
      </c>
      <c r="I3" s="28">
        <v>1.1200000000000001</v>
      </c>
      <c r="J3" s="28">
        <v>1.21</v>
      </c>
      <c r="K3" s="29">
        <v>1.3</v>
      </c>
      <c r="L3" s="27">
        <v>1</v>
      </c>
      <c r="M3" s="28">
        <v>1.1000000000000001</v>
      </c>
      <c r="N3" s="28">
        <v>1.28</v>
      </c>
      <c r="O3" s="28">
        <v>1.44</v>
      </c>
      <c r="P3" s="29">
        <v>1.58</v>
      </c>
    </row>
    <row r="4" spans="1:16" x14ac:dyDescent="0.25">
      <c r="A4" s="46">
        <v>75</v>
      </c>
      <c r="B4" s="27">
        <v>1</v>
      </c>
      <c r="C4" s="28">
        <v>1</v>
      </c>
      <c r="D4" s="28">
        <v>1.1000000000000001</v>
      </c>
      <c r="E4" s="28">
        <v>1.19</v>
      </c>
      <c r="F4" s="29">
        <v>1.29</v>
      </c>
      <c r="G4" s="27">
        <v>1</v>
      </c>
      <c r="H4" s="28">
        <v>1.02</v>
      </c>
      <c r="I4" s="28">
        <v>1.1299999999999999</v>
      </c>
      <c r="J4" s="28">
        <v>1.23</v>
      </c>
      <c r="K4" s="29">
        <v>1.33</v>
      </c>
      <c r="L4" s="27">
        <v>1</v>
      </c>
      <c r="M4" s="28">
        <v>1.1100000000000001</v>
      </c>
      <c r="N4" s="28">
        <v>1.3</v>
      </c>
      <c r="O4" s="28">
        <v>1.47</v>
      </c>
      <c r="P4" s="29">
        <v>1.61</v>
      </c>
    </row>
    <row r="5" spans="1:16" x14ac:dyDescent="0.25">
      <c r="A5" s="46">
        <v>100</v>
      </c>
      <c r="B5" s="27">
        <v>1</v>
      </c>
      <c r="C5" s="28">
        <v>1</v>
      </c>
      <c r="D5" s="28">
        <v>1.1100000000000001</v>
      </c>
      <c r="E5" s="28">
        <v>1.21</v>
      </c>
      <c r="F5" s="29">
        <v>1.32</v>
      </c>
      <c r="G5" s="27">
        <v>1</v>
      </c>
      <c r="H5" s="28">
        <v>1.02</v>
      </c>
      <c r="I5" s="28">
        <v>1.1399999999999999</v>
      </c>
      <c r="J5" s="28">
        <v>1.25</v>
      </c>
      <c r="K5" s="29">
        <v>1.35</v>
      </c>
      <c r="L5" s="27">
        <v>1</v>
      </c>
      <c r="M5" s="28">
        <v>1.1100000000000001</v>
      </c>
      <c r="N5" s="28">
        <v>1.31</v>
      </c>
      <c r="O5" s="28">
        <v>1.48</v>
      </c>
      <c r="P5" s="29">
        <v>1.64</v>
      </c>
    </row>
    <row r="6" spans="1:16" x14ac:dyDescent="0.25">
      <c r="A6" s="46">
        <v>125</v>
      </c>
      <c r="B6" s="27">
        <v>1</v>
      </c>
      <c r="C6" s="28">
        <v>1</v>
      </c>
      <c r="D6" s="28">
        <v>1.1200000000000001</v>
      </c>
      <c r="E6" s="28">
        <v>1.23</v>
      </c>
      <c r="F6" s="29">
        <v>1.34</v>
      </c>
      <c r="G6" s="27">
        <v>1</v>
      </c>
      <c r="H6" s="28">
        <v>1.03</v>
      </c>
      <c r="I6" s="28">
        <v>1.1499999999999999</v>
      </c>
      <c r="J6" s="28">
        <v>1.26</v>
      </c>
      <c r="K6" s="29">
        <v>1.37</v>
      </c>
      <c r="L6" s="27">
        <v>1</v>
      </c>
      <c r="M6" s="28">
        <v>1.1200000000000001</v>
      </c>
      <c r="N6" s="28">
        <v>1.32</v>
      </c>
      <c r="O6" s="28">
        <v>1.5</v>
      </c>
      <c r="P6" s="29">
        <v>1.66</v>
      </c>
    </row>
    <row r="7" spans="1:16" x14ac:dyDescent="0.25">
      <c r="A7" s="46">
        <v>150</v>
      </c>
      <c r="B7" s="27">
        <v>1</v>
      </c>
      <c r="C7" s="28">
        <v>1</v>
      </c>
      <c r="D7" s="28">
        <v>1.1200000000000001</v>
      </c>
      <c r="E7" s="28">
        <v>1.24</v>
      </c>
      <c r="F7" s="29">
        <v>1.37</v>
      </c>
      <c r="G7" s="27">
        <v>1</v>
      </c>
      <c r="H7" s="28">
        <v>1.03</v>
      </c>
      <c r="I7" s="28">
        <v>1.1599999999999999</v>
      </c>
      <c r="J7" s="28">
        <v>1.28</v>
      </c>
      <c r="K7" s="29">
        <v>1.4</v>
      </c>
      <c r="L7" s="27">
        <v>1</v>
      </c>
      <c r="M7" s="28">
        <v>1.1200000000000001</v>
      </c>
      <c r="N7" s="28">
        <v>1.33</v>
      </c>
      <c r="O7" s="28">
        <v>1.52</v>
      </c>
      <c r="P7" s="29">
        <v>1.68</v>
      </c>
    </row>
    <row r="8" spans="1:16" x14ac:dyDescent="0.25">
      <c r="A8" s="46">
        <v>175</v>
      </c>
      <c r="B8" s="27">
        <v>1</v>
      </c>
      <c r="C8" s="28">
        <v>1</v>
      </c>
      <c r="D8" s="28">
        <v>1.1299999999999999</v>
      </c>
      <c r="E8" s="28">
        <v>1.25</v>
      </c>
      <c r="F8" s="29">
        <v>1.38</v>
      </c>
      <c r="G8" s="27">
        <v>1</v>
      </c>
      <c r="H8" s="28">
        <v>1.03</v>
      </c>
      <c r="I8" s="28">
        <v>1.17</v>
      </c>
      <c r="J8" s="28">
        <v>1.29</v>
      </c>
      <c r="K8" s="29">
        <v>1.42</v>
      </c>
      <c r="L8" s="27">
        <v>1</v>
      </c>
      <c r="M8" s="28">
        <v>1.1200000000000001</v>
      </c>
      <c r="N8" s="28">
        <v>1.34</v>
      </c>
      <c r="O8" s="28">
        <v>1.53</v>
      </c>
      <c r="P8" s="29">
        <v>1.7</v>
      </c>
    </row>
    <row r="9" spans="1:16" x14ac:dyDescent="0.25">
      <c r="A9" s="46">
        <v>200</v>
      </c>
      <c r="B9" s="27">
        <v>1</v>
      </c>
      <c r="C9" s="28">
        <v>1</v>
      </c>
      <c r="D9" s="28">
        <v>1.1299999999999999</v>
      </c>
      <c r="E9" s="28">
        <v>1.26</v>
      </c>
      <c r="F9" s="29">
        <v>1.4</v>
      </c>
      <c r="G9" s="27">
        <v>1</v>
      </c>
      <c r="H9" s="28">
        <v>1.04</v>
      </c>
      <c r="I9" s="28">
        <v>1.17</v>
      </c>
      <c r="J9" s="28">
        <v>1.3</v>
      </c>
      <c r="K9" s="29">
        <v>1.43</v>
      </c>
      <c r="L9" s="27">
        <v>1</v>
      </c>
      <c r="M9" s="28">
        <v>1.1299999999999999</v>
      </c>
      <c r="N9" s="28">
        <v>1.35</v>
      </c>
      <c r="O9" s="28">
        <v>1.54</v>
      </c>
      <c r="P9" s="29">
        <v>1.72</v>
      </c>
    </row>
    <row r="10" spans="1:16" x14ac:dyDescent="0.25">
      <c r="A10" s="46">
        <v>225</v>
      </c>
      <c r="B10" s="27">
        <v>1</v>
      </c>
      <c r="C10" s="28">
        <v>1</v>
      </c>
      <c r="D10" s="28">
        <v>1.1399999999999999</v>
      </c>
      <c r="E10" s="28">
        <v>1.27</v>
      </c>
      <c r="F10" s="29">
        <v>1.42</v>
      </c>
      <c r="G10" s="27">
        <v>1</v>
      </c>
      <c r="H10" s="28">
        <v>1.04</v>
      </c>
      <c r="I10" s="28">
        <v>1.18</v>
      </c>
      <c r="J10" s="28">
        <v>1.32</v>
      </c>
      <c r="K10" s="29">
        <v>1.45</v>
      </c>
      <c r="L10" s="27">
        <v>1</v>
      </c>
      <c r="M10" s="28">
        <v>1.1299999999999999</v>
      </c>
      <c r="N10" s="28">
        <v>1.35</v>
      </c>
      <c r="O10" s="28">
        <v>1.56</v>
      </c>
      <c r="P10" s="29">
        <v>1.74</v>
      </c>
    </row>
    <row r="11" spans="1:16" x14ac:dyDescent="0.25">
      <c r="A11" s="46">
        <v>250</v>
      </c>
      <c r="B11" s="27">
        <v>1</v>
      </c>
      <c r="C11" s="28">
        <v>1</v>
      </c>
      <c r="D11" s="28">
        <v>1.1399999999999999</v>
      </c>
      <c r="E11" s="28">
        <v>1.28</v>
      </c>
      <c r="F11" s="29">
        <v>1.43</v>
      </c>
      <c r="G11" s="27">
        <v>1</v>
      </c>
      <c r="H11" s="28">
        <v>1.04</v>
      </c>
      <c r="I11" s="28">
        <v>1.19</v>
      </c>
      <c r="J11" s="28">
        <v>1.33</v>
      </c>
      <c r="K11" s="29">
        <v>1.47</v>
      </c>
      <c r="L11" s="27">
        <v>1</v>
      </c>
      <c r="M11" s="28">
        <v>1.1299999999999999</v>
      </c>
      <c r="N11" s="28">
        <v>1.36</v>
      </c>
      <c r="O11" s="28">
        <v>1.57</v>
      </c>
      <c r="P11" s="29">
        <v>1.76</v>
      </c>
    </row>
    <row r="12" spans="1:16" x14ac:dyDescent="0.25">
      <c r="A12" s="46">
        <v>275</v>
      </c>
      <c r="B12" s="27">
        <v>1</v>
      </c>
      <c r="C12" s="28">
        <v>1</v>
      </c>
      <c r="D12" s="28">
        <v>1.1399999999999999</v>
      </c>
      <c r="E12" s="28">
        <v>1.29</v>
      </c>
      <c r="F12" s="29">
        <v>1.44</v>
      </c>
      <c r="G12" s="27">
        <v>1</v>
      </c>
      <c r="H12" s="28">
        <v>1.05</v>
      </c>
      <c r="I12" s="28">
        <v>1.2</v>
      </c>
      <c r="J12" s="28">
        <v>1.34</v>
      </c>
      <c r="K12" s="29">
        <v>1.49</v>
      </c>
      <c r="L12" s="27">
        <v>1</v>
      </c>
      <c r="M12" s="28">
        <v>1.1399999999999999</v>
      </c>
      <c r="N12" s="28">
        <v>1.37</v>
      </c>
      <c r="O12" s="28">
        <v>1.58</v>
      </c>
      <c r="P12" s="29">
        <v>1.77</v>
      </c>
    </row>
    <row r="13" spans="1:16" x14ac:dyDescent="0.25">
      <c r="A13" s="46">
        <v>300</v>
      </c>
      <c r="B13" s="27">
        <v>1</v>
      </c>
      <c r="C13" s="28">
        <v>1</v>
      </c>
      <c r="D13" s="28">
        <v>1.1399999999999999</v>
      </c>
      <c r="E13" s="28">
        <v>1.3</v>
      </c>
      <c r="F13" s="29">
        <v>1.46</v>
      </c>
      <c r="G13" s="27">
        <v>1</v>
      </c>
      <c r="H13" s="28">
        <v>1.05</v>
      </c>
      <c r="I13" s="28">
        <v>1.2</v>
      </c>
      <c r="J13" s="28">
        <v>1.35</v>
      </c>
      <c r="K13" s="29">
        <v>1.5</v>
      </c>
      <c r="L13" s="27">
        <v>1</v>
      </c>
      <c r="M13" s="28">
        <v>1.1399999999999999</v>
      </c>
      <c r="N13" s="28">
        <v>1.37</v>
      </c>
      <c r="O13" s="28">
        <v>1.59</v>
      </c>
      <c r="P13" s="29">
        <v>1.79</v>
      </c>
    </row>
    <row r="14" spans="1:16" x14ac:dyDescent="0.25">
      <c r="A14" s="46">
        <v>325</v>
      </c>
      <c r="B14" s="27">
        <v>1</v>
      </c>
      <c r="C14" s="28">
        <v>1</v>
      </c>
      <c r="D14" s="28">
        <v>1.1499999999999999</v>
      </c>
      <c r="E14" s="28">
        <v>1.3</v>
      </c>
      <c r="F14" s="29">
        <v>1.47</v>
      </c>
      <c r="G14" s="27">
        <v>1</v>
      </c>
      <c r="H14" s="28">
        <v>1.05</v>
      </c>
      <c r="I14" s="28">
        <v>1.21</v>
      </c>
      <c r="J14" s="28">
        <v>1.36</v>
      </c>
      <c r="K14" s="29">
        <v>1.52</v>
      </c>
      <c r="L14" s="27">
        <v>1</v>
      </c>
      <c r="M14" s="28">
        <v>1.1399999999999999</v>
      </c>
      <c r="N14" s="28">
        <v>1.38</v>
      </c>
      <c r="O14" s="28">
        <v>1.6</v>
      </c>
      <c r="P14" s="29">
        <v>1.81</v>
      </c>
    </row>
    <row r="15" spans="1:16" x14ac:dyDescent="0.25">
      <c r="A15" s="46">
        <v>350</v>
      </c>
      <c r="B15" s="27">
        <v>1</v>
      </c>
      <c r="C15" s="28">
        <v>1</v>
      </c>
      <c r="D15" s="28">
        <v>1.1499999999999999</v>
      </c>
      <c r="E15" s="28">
        <v>1.31</v>
      </c>
      <c r="F15" s="29">
        <v>1.48</v>
      </c>
      <c r="G15" s="27">
        <v>1</v>
      </c>
      <c r="H15" s="28">
        <v>1.05</v>
      </c>
      <c r="I15" s="28">
        <v>1.22</v>
      </c>
      <c r="J15" s="28">
        <v>1.37</v>
      </c>
      <c r="K15" s="29">
        <v>1.54</v>
      </c>
      <c r="L15" s="27">
        <v>1</v>
      </c>
      <c r="M15" s="28">
        <v>1.1499999999999999</v>
      </c>
      <c r="N15" s="28">
        <v>1.39</v>
      </c>
      <c r="O15" s="28">
        <v>1.61</v>
      </c>
      <c r="P15" s="29">
        <v>1.82</v>
      </c>
    </row>
    <row r="16" spans="1:16" x14ac:dyDescent="0.25">
      <c r="A16" s="46">
        <v>375</v>
      </c>
      <c r="B16" s="27">
        <v>1</v>
      </c>
      <c r="C16" s="28">
        <v>1</v>
      </c>
      <c r="D16" s="28">
        <v>1.1499999999999999</v>
      </c>
      <c r="E16" s="28">
        <v>1.31</v>
      </c>
      <c r="F16" s="29">
        <v>1.49</v>
      </c>
      <c r="G16" s="27">
        <v>1</v>
      </c>
      <c r="H16" s="28">
        <v>1.06</v>
      </c>
      <c r="I16" s="28">
        <v>1.22</v>
      </c>
      <c r="J16" s="28">
        <v>1.38</v>
      </c>
      <c r="K16" s="29">
        <v>1.55</v>
      </c>
      <c r="L16" s="27">
        <v>1</v>
      </c>
      <c r="M16" s="28">
        <v>1.1499999999999999</v>
      </c>
      <c r="N16" s="28">
        <v>1.39</v>
      </c>
      <c r="O16" s="28">
        <v>1.62</v>
      </c>
      <c r="P16" s="29">
        <v>1.84</v>
      </c>
    </row>
    <row r="17" spans="1:16" x14ac:dyDescent="0.25">
      <c r="A17" s="47">
        <v>400</v>
      </c>
      <c r="B17" s="30">
        <v>1</v>
      </c>
      <c r="C17" s="31">
        <v>1</v>
      </c>
      <c r="D17" s="31">
        <v>1.1499999999999999</v>
      </c>
      <c r="E17" s="31">
        <v>1.32</v>
      </c>
      <c r="F17" s="32">
        <v>1.5</v>
      </c>
      <c r="G17" s="30">
        <v>1</v>
      </c>
      <c r="H17" s="31">
        <v>1.06</v>
      </c>
      <c r="I17" s="31">
        <v>1.23</v>
      </c>
      <c r="J17" s="31">
        <v>1.4</v>
      </c>
      <c r="K17" s="32">
        <v>1.57</v>
      </c>
      <c r="L17" s="30">
        <v>1</v>
      </c>
      <c r="M17" s="31">
        <v>1.1499999999999999</v>
      </c>
      <c r="N17" s="31">
        <v>1.4</v>
      </c>
      <c r="O17" s="31">
        <v>1.63</v>
      </c>
      <c r="P17" s="32">
        <v>1.85</v>
      </c>
    </row>
  </sheetData>
  <sheetProtection password="C442" sheet="1" objects="1" scenarios="1"/>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W58"/>
  <sheetViews>
    <sheetView view="pageBreakPreview" zoomScaleNormal="100" zoomScaleSheetLayoutView="100" workbookViewId="0"/>
  </sheetViews>
  <sheetFormatPr defaultRowHeight="13.2" x14ac:dyDescent="0.25"/>
  <cols>
    <col min="1" max="3" width="95.6640625" style="54" customWidth="1"/>
    <col min="4" max="8" width="8.33203125" style="54" customWidth="1"/>
    <col min="9" max="9" width="13" style="54" customWidth="1"/>
    <col min="10" max="10" width="4.6640625" style="54" customWidth="1"/>
    <col min="11" max="21" width="5.88671875" style="54" customWidth="1"/>
    <col min="22" max="22" width="9.109375" style="54"/>
    <col min="23" max="23" width="9.109375" style="40"/>
  </cols>
  <sheetData>
    <row r="1" spans="1:23" s="18" customFormat="1" ht="12.75" customHeight="1" x14ac:dyDescent="0.25">
      <c r="A1" s="61" t="s">
        <v>73</v>
      </c>
      <c r="B1" s="61" t="s">
        <v>73</v>
      </c>
      <c r="C1" s="61" t="s">
        <v>73</v>
      </c>
      <c r="D1" s="62"/>
      <c r="E1" s="62"/>
      <c r="F1" s="62"/>
      <c r="G1" s="62"/>
      <c r="H1" s="62"/>
      <c r="I1" s="62"/>
      <c r="J1" s="62"/>
      <c r="K1" s="62"/>
      <c r="L1" s="62"/>
      <c r="M1" s="61"/>
      <c r="N1" s="62"/>
      <c r="O1" s="62"/>
      <c r="P1" s="62"/>
      <c r="Q1" s="62"/>
      <c r="R1" s="62"/>
      <c r="S1" s="62"/>
      <c r="T1" s="62"/>
      <c r="U1" s="62"/>
      <c r="V1" s="62"/>
      <c r="W1" s="63"/>
    </row>
    <row r="2" spans="1:23" ht="12.9" customHeight="1" x14ac:dyDescent="0.3">
      <c r="A2" s="55"/>
      <c r="D2" s="9"/>
      <c r="E2" s="56"/>
      <c r="F2" s="11"/>
      <c r="G2" s="16"/>
      <c r="H2" s="10"/>
    </row>
    <row r="3" spans="1:23" ht="12.9" customHeight="1" x14ac:dyDescent="0.3">
      <c r="A3" s="55"/>
      <c r="D3" s="9"/>
      <c r="E3" s="56"/>
      <c r="G3" s="16"/>
    </row>
    <row r="4" spans="1:23" ht="9.9" customHeight="1" x14ac:dyDescent="0.25">
      <c r="A4" s="55"/>
    </row>
    <row r="5" spans="1:23" ht="12.9" customHeight="1" x14ac:dyDescent="0.25">
      <c r="A5" s="55"/>
    </row>
    <row r="6" spans="1:23" ht="12.9" customHeight="1" x14ac:dyDescent="0.3">
      <c r="A6" s="55"/>
      <c r="D6" s="9"/>
      <c r="E6" s="57"/>
      <c r="G6" s="16"/>
    </row>
    <row r="7" spans="1:23" ht="12.9" customHeight="1" x14ac:dyDescent="0.3">
      <c r="A7" s="55"/>
      <c r="D7" s="9"/>
      <c r="E7" s="57"/>
      <c r="G7" s="58"/>
    </row>
    <row r="8" spans="1:23" ht="12.9" customHeight="1" x14ac:dyDescent="0.3">
      <c r="A8" s="55"/>
      <c r="D8" s="9"/>
      <c r="E8" s="57"/>
      <c r="G8" s="58"/>
    </row>
    <row r="9" spans="1:23" ht="12.9" customHeight="1" x14ac:dyDescent="0.3">
      <c r="A9" s="55"/>
      <c r="D9" s="59"/>
      <c r="E9" s="60"/>
      <c r="G9" s="58"/>
    </row>
    <row r="10" spans="1:23" ht="12.9" customHeight="1" x14ac:dyDescent="0.3">
      <c r="A10" s="55"/>
      <c r="D10" s="59"/>
      <c r="E10" s="56"/>
      <c r="G10" s="58"/>
    </row>
    <row r="58" spans="1:3" x14ac:dyDescent="0.25">
      <c r="A58" s="61" t="s">
        <v>54</v>
      </c>
      <c r="B58" s="61" t="s">
        <v>55</v>
      </c>
      <c r="C58" s="61" t="s">
        <v>56</v>
      </c>
    </row>
  </sheetData>
  <sheetProtection algorithmName="SHA-512" hashValue="wU+VCliWu79gJ2wdFuMHnStfgHHTXc40/JxhCA8Mr+7hwshz2zMI54/SdI+zvvJnjBx8bm/QrfyjjeoLz/jkbQ==" saltValue="8N38cbpJnMms1jvlDTfqiA==" spinCount="100000" sheet="1" objects="1" scenarios="1"/>
  <phoneticPr fontId="0" type="noConversion"/>
  <dataValidations count="4">
    <dataValidation type="whole" operator="greaterThanOrEqual" showInputMessage="1" showErrorMessage="1" errorTitle="Minimum Walk" error="Out of range (minimum 0 seconds)" promptTitle="Minimum Walk" prompt="Time in seconds" sqref="E6" xr:uid="{00000000-0002-0000-0100-000000000000}">
      <formula1>0</formula1>
    </dataValidation>
    <dataValidation type="whole" operator="greaterThanOrEqual" showInputMessage="1" showErrorMessage="1" errorTitle="Maximum Ped Clear" error="Out of range (minimum 0 seconds)" promptTitle="Maximum Ped Clear" prompt="Time in seconds" sqref="E7" xr:uid="{00000000-0002-0000-0100-000001000000}">
      <formula1>0</formula1>
    </dataValidation>
    <dataValidation type="whole" operator="greaterThanOrEqual" showInputMessage="1" showErrorMessage="1" errorTitle="Minimum Green" error="Out of range (minimum 0 seconds)" promptTitle="Minimum Green" prompt="Time in seconds" sqref="E8" xr:uid="{00000000-0002-0000-0100-000002000000}">
      <formula1>0</formula1>
    </dataValidation>
    <dataValidation type="decimal" operator="greaterThanOrEqual" showInputMessage="1" showErrorMessage="1" errorTitle="Maximum Yellow plus All Red" error="Out of range (minimum 3.0 seconds)" promptTitle="Maximum Yellow plus All Red" prompt="Time in seconds" sqref="E9" xr:uid="{00000000-0002-0000-0100-000003000000}">
      <formula1>3</formula1>
    </dataValidation>
  </dataValidations>
  <pageMargins left="0.75" right="0.75" top="0.5" bottom="0.5" header="0.5" footer="0.5"/>
  <pageSetup scale="99"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E99F7-7BE9-467F-9FA4-A0B70D33EAB0}">
  <sheetPr>
    <pageSetUpPr fitToPage="1"/>
  </sheetPr>
  <dimension ref="B1:T63"/>
  <sheetViews>
    <sheetView tabSelected="1" zoomScaleNormal="100" workbookViewId="0">
      <selection activeCell="I36" sqref="I36"/>
    </sheetView>
  </sheetViews>
  <sheetFormatPr defaultRowHeight="13.2" x14ac:dyDescent="0.25"/>
  <cols>
    <col min="1" max="1" width="6.6640625" customWidth="1"/>
    <col min="2" max="2" width="18.5546875" customWidth="1"/>
    <col min="3" max="10" width="6.6640625" customWidth="1"/>
    <col min="11" max="11" width="6.6640625" style="62" customWidth="1"/>
    <col min="12" max="12" width="2.6640625" style="18" customWidth="1"/>
    <col min="13" max="13" width="17.44140625" customWidth="1"/>
    <col min="14" max="14" width="24.6640625" customWidth="1"/>
    <col min="15" max="17" width="8.6640625" style="18" customWidth="1"/>
    <col min="18" max="19" width="8.6640625" customWidth="1"/>
    <col min="20" max="20" width="2.6640625" customWidth="1"/>
    <col min="21" max="31" width="5.88671875" customWidth="1"/>
  </cols>
  <sheetData>
    <row r="1" spans="2:20" ht="16.5" customHeight="1" thickBot="1" x14ac:dyDescent="0.35">
      <c r="B1" s="1" t="s">
        <v>84</v>
      </c>
      <c r="C1" s="1"/>
      <c r="D1" s="1"/>
      <c r="E1" s="1"/>
      <c r="F1" s="1"/>
      <c r="G1" s="1"/>
      <c r="H1" s="1"/>
      <c r="I1" s="1"/>
      <c r="J1" s="59" t="s">
        <v>89</v>
      </c>
      <c r="M1" s="1" t="str">
        <f>B1</f>
        <v>Railroad Preemption Form 3d</v>
      </c>
      <c r="N1" s="1"/>
      <c r="O1" s="19"/>
      <c r="P1" s="19"/>
      <c r="S1" s="2" t="str">
        <f>J1</f>
        <v>Revised 3/17/2022</v>
      </c>
    </row>
    <row r="2" spans="2:20" ht="16.5" customHeight="1" thickBot="1" x14ac:dyDescent="0.3">
      <c r="B2" s="101" t="s">
        <v>48</v>
      </c>
      <c r="C2" s="117"/>
      <c r="D2" s="118"/>
      <c r="E2" s="118"/>
      <c r="F2" s="119"/>
      <c r="G2" s="120" t="s">
        <v>53</v>
      </c>
      <c r="H2" s="121"/>
      <c r="I2" s="117"/>
      <c r="J2" s="119"/>
      <c r="M2" s="101" t="s">
        <v>48</v>
      </c>
      <c r="N2" s="115" t="str">
        <f>IF(C2="","",C2)</f>
        <v/>
      </c>
      <c r="O2" s="116"/>
      <c r="P2" s="120" t="s">
        <v>53</v>
      </c>
      <c r="Q2" s="121"/>
      <c r="R2" s="115" t="str">
        <f>IF(I2="","",I2)</f>
        <v/>
      </c>
      <c r="S2" s="116"/>
      <c r="T2" s="2"/>
    </row>
    <row r="3" spans="2:20" ht="12.75" customHeight="1" x14ac:dyDescent="0.3">
      <c r="B3" s="96" t="s">
        <v>63</v>
      </c>
      <c r="C3" s="50"/>
      <c r="D3" s="50"/>
      <c r="E3" s="51"/>
      <c r="F3" s="50"/>
      <c r="G3" s="50"/>
      <c r="H3" s="50"/>
      <c r="I3" s="50"/>
      <c r="J3" s="52"/>
      <c r="K3" s="111"/>
      <c r="M3" s="110"/>
      <c r="N3" s="1"/>
      <c r="O3" s="19"/>
      <c r="P3" s="19"/>
    </row>
    <row r="4" spans="2:20" ht="12.75" customHeight="1" x14ac:dyDescent="0.3">
      <c r="B4" s="95" t="s">
        <v>49</v>
      </c>
      <c r="C4" s="35"/>
      <c r="D4" s="35"/>
      <c r="E4" s="36"/>
      <c r="F4" s="35"/>
      <c r="G4" s="35"/>
      <c r="H4" s="35"/>
      <c r="I4" s="35"/>
      <c r="J4" s="37"/>
      <c r="K4" s="111"/>
      <c r="M4" s="1"/>
    </row>
    <row r="5" spans="2:20" ht="12.75" customHeight="1" x14ac:dyDescent="0.3">
      <c r="B5" s="48"/>
      <c r="C5" s="40"/>
      <c r="D5" s="40"/>
      <c r="E5" s="102" t="s">
        <v>74</v>
      </c>
      <c r="F5" s="8"/>
      <c r="G5" s="6" t="s">
        <v>4</v>
      </c>
      <c r="J5" s="74"/>
      <c r="K5" s="111"/>
      <c r="M5" s="1"/>
      <c r="O5" s="17" t="s">
        <v>44</v>
      </c>
      <c r="P5" s="17" t="s">
        <v>43</v>
      </c>
      <c r="Q5" s="17" t="s">
        <v>0</v>
      </c>
    </row>
    <row r="6" spans="2:20" ht="12.75" customHeight="1" x14ac:dyDescent="0.3">
      <c r="B6" s="48"/>
      <c r="C6" s="40"/>
      <c r="D6" s="40"/>
      <c r="E6" s="102" t="s">
        <v>75</v>
      </c>
      <c r="F6" s="8"/>
      <c r="G6" s="6" t="s">
        <v>4</v>
      </c>
      <c r="H6" s="64" t="s">
        <v>46</v>
      </c>
      <c r="I6" s="33">
        <v>0</v>
      </c>
      <c r="J6" s="74" t="s">
        <v>47</v>
      </c>
      <c r="K6" s="111"/>
      <c r="M6" s="1"/>
      <c r="O6" s="17"/>
      <c r="P6" s="17"/>
      <c r="Q6" s="17"/>
    </row>
    <row r="7" spans="2:20" ht="12.75" customHeight="1" x14ac:dyDescent="0.25">
      <c r="B7" s="5"/>
      <c r="J7" s="74"/>
      <c r="K7" s="111"/>
      <c r="O7" s="17"/>
      <c r="P7" s="17"/>
      <c r="Q7" s="17"/>
    </row>
    <row r="8" spans="2:20" ht="12.75" customHeight="1" x14ac:dyDescent="0.25">
      <c r="B8" s="5"/>
      <c r="E8" s="102" t="s">
        <v>76</v>
      </c>
      <c r="F8" s="8"/>
      <c r="G8" s="6" t="s">
        <v>4</v>
      </c>
      <c r="H8" s="64" t="s">
        <v>46</v>
      </c>
      <c r="I8" s="33">
        <v>0</v>
      </c>
      <c r="J8" s="74" t="s">
        <v>47</v>
      </c>
      <c r="K8" s="111"/>
      <c r="N8" t="s">
        <v>1</v>
      </c>
      <c r="Q8" s="20">
        <f>F45+F46-F43-F44</f>
        <v>9</v>
      </c>
      <c r="R8" s="28"/>
    </row>
    <row r="9" spans="2:20" ht="12.75" customHeight="1" x14ac:dyDescent="0.25">
      <c r="B9" s="5"/>
      <c r="E9" s="102" t="s">
        <v>77</v>
      </c>
      <c r="F9" s="81" t="s">
        <v>42</v>
      </c>
      <c r="G9" s="6"/>
      <c r="H9" s="64"/>
      <c r="I9" s="103"/>
      <c r="J9" s="74"/>
      <c r="K9" s="111"/>
      <c r="N9" t="s">
        <v>2</v>
      </c>
      <c r="Q9" s="20">
        <f>F44</f>
        <v>12</v>
      </c>
      <c r="R9" s="28"/>
    </row>
    <row r="10" spans="2:20" ht="12.75" customHeight="1" x14ac:dyDescent="0.25">
      <c r="B10" s="5"/>
      <c r="J10" s="74"/>
      <c r="K10" s="111"/>
      <c r="N10" t="s">
        <v>3</v>
      </c>
      <c r="Q10" s="20">
        <f>F43</f>
        <v>3</v>
      </c>
      <c r="R10" s="28"/>
    </row>
    <row r="11" spans="2:20" ht="12.75" customHeight="1" x14ac:dyDescent="0.25">
      <c r="B11" s="5"/>
      <c r="D11" s="6"/>
      <c r="E11" s="7" t="s">
        <v>58</v>
      </c>
      <c r="F11" s="8"/>
      <c r="G11" s="6" t="s">
        <v>4</v>
      </c>
      <c r="H11" s="64" t="s">
        <v>46</v>
      </c>
      <c r="I11" s="33">
        <v>0</v>
      </c>
      <c r="J11" s="74" t="s">
        <v>47</v>
      </c>
      <c r="K11" s="109"/>
      <c r="L11" s="63"/>
      <c r="N11" s="54" t="s">
        <v>78</v>
      </c>
      <c r="Q11" s="20">
        <f>F54</f>
        <v>0</v>
      </c>
      <c r="R11" s="28"/>
    </row>
    <row r="12" spans="2:20" ht="12.75" customHeight="1" thickBot="1" x14ac:dyDescent="0.3">
      <c r="B12" s="5"/>
      <c r="E12" s="64" t="s">
        <v>66</v>
      </c>
      <c r="F12" s="83"/>
      <c r="G12" s="6" t="s">
        <v>4</v>
      </c>
      <c r="H12" s="6"/>
      <c r="I12" s="79"/>
      <c r="J12" s="74"/>
      <c r="K12" s="109"/>
      <c r="L12" s="63"/>
      <c r="N12" s="11" t="s">
        <v>72</v>
      </c>
      <c r="Q12" s="20">
        <f>SUM(F33:F34)</f>
        <v>0</v>
      </c>
    </row>
    <row r="13" spans="2:20" ht="12.75" customHeight="1" x14ac:dyDescent="0.25">
      <c r="B13" s="5"/>
      <c r="E13" s="64" t="s">
        <v>6</v>
      </c>
      <c r="F13" s="84">
        <f>SUM(F11:F12)</f>
        <v>0</v>
      </c>
      <c r="G13" s="6" t="s">
        <v>4</v>
      </c>
      <c r="H13" s="6"/>
      <c r="I13" s="85"/>
      <c r="J13" s="74"/>
      <c r="K13" s="109"/>
      <c r="L13" s="63"/>
      <c r="N13" t="s">
        <v>5</v>
      </c>
      <c r="O13" s="20">
        <f>P13+P15-O14-O20</f>
        <v>0</v>
      </c>
      <c r="P13" s="20">
        <f>IF(F51="Yes",MAX(0,F47+J21+J23-F43-J25-F31),MAX(0,F38-F31+F32+IF(Q58="Yes",F37,0)))</f>
        <v>0</v>
      </c>
      <c r="R13" s="4"/>
    </row>
    <row r="14" spans="2:20" ht="12.75" customHeight="1" x14ac:dyDescent="0.25">
      <c r="B14" s="5"/>
      <c r="E14" s="2"/>
      <c r="J14" s="3"/>
      <c r="K14" s="111"/>
      <c r="N14" t="s">
        <v>40</v>
      </c>
      <c r="O14" s="20">
        <f>F32-O20</f>
        <v>12</v>
      </c>
      <c r="R14" s="20"/>
    </row>
    <row r="15" spans="2:20" ht="12.75" customHeight="1" x14ac:dyDescent="0.25">
      <c r="B15" s="95" t="s">
        <v>50</v>
      </c>
      <c r="C15" s="35"/>
      <c r="D15" s="35"/>
      <c r="E15" s="36"/>
      <c r="F15" s="35"/>
      <c r="G15" s="35"/>
      <c r="H15" s="35"/>
      <c r="I15" s="35"/>
      <c r="J15" s="37"/>
      <c r="K15" s="111"/>
      <c r="N15" t="s">
        <v>7</v>
      </c>
      <c r="P15" s="20">
        <f>IF(F51="Yes",F31+IF(Q58="Yes",F37,0),MIN(F31,F54+F56+F47-IF(Q58="Yes",0,F37)))</f>
        <v>16</v>
      </c>
      <c r="R15" s="20"/>
    </row>
    <row r="16" spans="2:20" ht="12.75" customHeight="1" x14ac:dyDescent="0.25">
      <c r="B16" s="5"/>
      <c r="E16" s="64"/>
      <c r="F16" s="73" t="s">
        <v>8</v>
      </c>
      <c r="G16" s="73" t="s">
        <v>9</v>
      </c>
      <c r="H16" s="73" t="s">
        <v>10</v>
      </c>
      <c r="I16" s="73" t="s">
        <v>11</v>
      </c>
      <c r="J16" s="74"/>
      <c r="K16" s="111"/>
      <c r="N16" t="s">
        <v>12</v>
      </c>
      <c r="O16" s="21"/>
      <c r="P16" s="20">
        <f>IF(Q58="Yes",0,F36)</f>
        <v>6.5</v>
      </c>
      <c r="R16" s="4"/>
    </row>
    <row r="17" spans="2:18" ht="12.75" customHeight="1" x14ac:dyDescent="0.25">
      <c r="B17" s="5"/>
      <c r="E17" s="64" t="s">
        <v>13</v>
      </c>
      <c r="F17" s="75">
        <v>19</v>
      </c>
      <c r="G17" s="75">
        <v>30</v>
      </c>
      <c r="H17" s="75">
        <v>40</v>
      </c>
      <c r="I17" s="75">
        <v>74</v>
      </c>
      <c r="J17" s="74"/>
      <c r="K17" s="111"/>
      <c r="N17" t="s">
        <v>60</v>
      </c>
      <c r="O17" s="20"/>
      <c r="P17" s="20">
        <f>IF(Q58="Yes",0,IF(F35&gt;F34+F33,F35-F34-F33,0))</f>
        <v>0</v>
      </c>
      <c r="Q17" s="22"/>
    </row>
    <row r="18" spans="2:18" ht="12.75" customHeight="1" x14ac:dyDescent="0.25">
      <c r="B18" s="5"/>
      <c r="E18" s="64" t="s">
        <v>35</v>
      </c>
      <c r="F18" s="75">
        <v>5</v>
      </c>
      <c r="G18" s="75">
        <v>14</v>
      </c>
      <c r="H18" s="75">
        <v>11</v>
      </c>
      <c r="I18" s="75">
        <v>14</v>
      </c>
      <c r="J18" s="74"/>
      <c r="K18" s="111"/>
      <c r="N18" t="s">
        <v>70</v>
      </c>
      <c r="O18" s="20"/>
      <c r="P18" s="20">
        <f>IF(Q58="Yes",0,F34)</f>
        <v>0</v>
      </c>
    </row>
    <row r="19" spans="2:18" ht="12.75" customHeight="1" x14ac:dyDescent="0.25">
      <c r="B19" s="5"/>
      <c r="E19" s="64" t="s">
        <v>14</v>
      </c>
      <c r="F19" s="66">
        <f>F17+6</f>
        <v>25</v>
      </c>
      <c r="G19" s="66">
        <f>G17+6</f>
        <v>36</v>
      </c>
      <c r="H19" s="66">
        <f>H17+6</f>
        <v>46</v>
      </c>
      <c r="I19" s="66">
        <f>I17+6</f>
        <v>80</v>
      </c>
      <c r="J19" s="74"/>
      <c r="K19" s="109"/>
      <c r="L19" s="63"/>
      <c r="N19" t="s">
        <v>16</v>
      </c>
      <c r="O19" s="20"/>
      <c r="P19" s="20">
        <f>IF(Q58="Yes",0,F33)</f>
        <v>0</v>
      </c>
    </row>
    <row r="20" spans="2:18" ht="12.75" customHeight="1" x14ac:dyDescent="0.25">
      <c r="B20" s="5"/>
      <c r="E20" s="64" t="s">
        <v>15</v>
      </c>
      <c r="F20" s="76">
        <f>ROUNDDOWN($F$13/F19,0)</f>
        <v>0</v>
      </c>
      <c r="G20" s="76">
        <f>ROUNDDOWN($F$13/G19,0)</f>
        <v>0</v>
      </c>
      <c r="H20" s="76">
        <f>ROUNDDOWN($F$13/H19,0)</f>
        <v>0</v>
      </c>
      <c r="I20" s="76">
        <f>ROUNDDOWN($F$13/I19,0)</f>
        <v>0</v>
      </c>
      <c r="J20" s="74"/>
      <c r="K20" s="111"/>
      <c r="N20" t="s">
        <v>41</v>
      </c>
      <c r="O20" s="20">
        <f>ROUND(J21,0)</f>
        <v>4</v>
      </c>
      <c r="P20" s="20"/>
    </row>
    <row r="21" spans="2:18" ht="12.75" customHeight="1" x14ac:dyDescent="0.25">
      <c r="B21" s="5"/>
      <c r="E21" s="7" t="s">
        <v>17</v>
      </c>
      <c r="F21" s="77">
        <f>1.46*(F20+1)+1</f>
        <v>2.46</v>
      </c>
      <c r="G21" s="77">
        <f>1.46*(G20+1)+1.02</f>
        <v>2.48</v>
      </c>
      <c r="H21" s="77">
        <f>1.75*(H20+1)+0.97</f>
        <v>2.7199999999999998</v>
      </c>
      <c r="I21" s="77">
        <f>2.99*(I20+1)+1</f>
        <v>3.99</v>
      </c>
      <c r="J21" s="78">
        <f>ROUND(MAX(IF(F$28="Yes",F21),IF(G$28="Yes",G21),IF(H$28="Yes",H21),IF(I$28="Yes",I21)),0)</f>
        <v>4</v>
      </c>
      <c r="K21" s="111"/>
      <c r="N21" t="s">
        <v>69</v>
      </c>
      <c r="P21" s="20">
        <f>SUM(Q8:Q12)-SUM(P13:P19)</f>
        <v>1.5</v>
      </c>
    </row>
    <row r="22" spans="2:18" ht="12.75" customHeight="1" x14ac:dyDescent="0.25">
      <c r="B22" s="5"/>
      <c r="E22" s="7" t="s">
        <v>18</v>
      </c>
      <c r="F22" s="77">
        <f>0.5483*($F$13)^0.5463</f>
        <v>0</v>
      </c>
      <c r="G22" s="77">
        <f>0.6026*($F$13)^0.5474*IF($I$11=0,1,VLOOKUP($F$13,Table!B4:Q19,$I$11/2+2,TRUE))</f>
        <v>0</v>
      </c>
      <c r="H22" s="77">
        <f>0.5333*($F$13)^0.5348*IF($I$11=0,1,VLOOKUP($F$13,Table!B4:Q19,$I$11/2+7,TRUE))</f>
        <v>0</v>
      </c>
      <c r="I22" s="77">
        <f>1.2559*($F$13)^0.5188*IF($I$11=0,1,VLOOKUP($F$13,Table!B4:Q19,$I$11/2+12,TRUE))</f>
        <v>0</v>
      </c>
      <c r="J22" s="78">
        <f>ROUND(MAX(IF(F$28="Yes",F22),IF(G$28="Yes",G22),IF(H$28="Yes",H22),IF(I$28="Yes",I22)),0)</f>
        <v>0</v>
      </c>
      <c r="K22" s="111"/>
    </row>
    <row r="23" spans="2:18" ht="12.75" customHeight="1" x14ac:dyDescent="0.25">
      <c r="B23" s="5"/>
      <c r="E23" s="7" t="s">
        <v>34</v>
      </c>
      <c r="F23" s="79">
        <f>0.5483*(F17)^0.5463</f>
        <v>2.7390586904569352</v>
      </c>
      <c r="G23" s="79">
        <f>0.6026*(G17)^0.5474*IF($I$11=0,1,VLOOKUP(G17,Table!B4:Q19,$I$11/2+2,TRUE))</f>
        <v>3.8779776535371684</v>
      </c>
      <c r="H23" s="79">
        <f>0.5333*(H17)^0.5348*IF($I$11=0,1,VLOOKUP(H17,Table!B4:Q19,$I$11/2+7,TRUE))</f>
        <v>3.8348931425323061</v>
      </c>
      <c r="I23" s="79">
        <f>1.2559*(I17)^0.5188*IF($I$11=0,1,VLOOKUP(I17,Table!B4:Q19,$I$11/2+12,TRUE))</f>
        <v>11.714195739397095</v>
      </c>
      <c r="J23" s="80">
        <f>ROUND(MAX(IF(F$28="Yes",F23),IF(G$28="Yes",G23),IF(H$28="Yes",H23),IF(I$28="Yes",I23)),0)</f>
        <v>12</v>
      </c>
      <c r="K23" s="111"/>
      <c r="N23" t="s">
        <v>68</v>
      </c>
      <c r="P23" s="20">
        <f>MIN(R23:R24)</f>
        <v>0</v>
      </c>
      <c r="Q23" s="20"/>
      <c r="R23" s="20">
        <f>MAX(0,J26+SUM(Q8:Q10)-SUM(P13:P19))</f>
        <v>1.5</v>
      </c>
    </row>
    <row r="24" spans="2:18" ht="12.75" customHeight="1" x14ac:dyDescent="0.25">
      <c r="B24" s="5"/>
      <c r="E24" s="7" t="s">
        <v>19</v>
      </c>
      <c r="F24" s="77">
        <f>0.5483*($F$11+F17)^0.5463</f>
        <v>2.7390586904569352</v>
      </c>
      <c r="G24" s="77">
        <f>0.6026*($F$11+G17)^0.5474*IF($I$11=0,1,VLOOKUP($F$11+G17,Table!B4:Q19,$I$11/2+2,TRUE))</f>
        <v>3.8779776535371684</v>
      </c>
      <c r="H24" s="77">
        <f>0.5333*($F$11+H17)^0.5348*IF($I$11=0,1,VLOOKUP($F$11+H17,Table!B4:Q19,$I$11/2+7,TRUE))</f>
        <v>3.8348931425323061</v>
      </c>
      <c r="I24" s="77">
        <f>1.2559*($F$11+I17)^0.5188*IF($I$11=0,1,VLOOKUP($F$11+I17,Table!B4:Q19,$I$11/2+12,TRUE))</f>
        <v>11.714195739397095</v>
      </c>
      <c r="J24" s="78">
        <f>ROUND(MAX(IF(F$28="Yes",F24),IF(G$28="Yes",G24),IF(H$28="Yes",H24),IF(I$28="Yes",I24)),0)</f>
        <v>12</v>
      </c>
      <c r="K24" s="111"/>
      <c r="N24" t="s">
        <v>67</v>
      </c>
      <c r="P24" s="20">
        <f>MAX(0,R23-P23)</f>
        <v>1.5</v>
      </c>
      <c r="R24" s="20">
        <f>MAX(0,J27-SUM(P16:P19))</f>
        <v>0</v>
      </c>
    </row>
    <row r="25" spans="2:18" ht="12.75" customHeight="1" x14ac:dyDescent="0.25">
      <c r="B25" s="5"/>
      <c r="E25" s="64" t="s">
        <v>36</v>
      </c>
      <c r="F25" s="79">
        <f>ROUND($F44*ATAN2(F18-4,$F52)*2/PI(),1)</f>
        <v>11.2</v>
      </c>
      <c r="G25" s="79">
        <f>ROUND($F44*ATAN2(G18-4,$F52)*2/PI(),1)</f>
        <v>6</v>
      </c>
      <c r="H25" s="79">
        <f>ROUND($F44*ATAN2(H18-4,$F52)*2/PI(),1)</f>
        <v>7.3</v>
      </c>
      <c r="I25" s="79">
        <f>ROUND($F44*ATAN2(I18-4,$F52)*2/PI(),1)</f>
        <v>6</v>
      </c>
      <c r="J25" s="80">
        <f>ROUND(MIN(IF(F$28="Yes",F25,F44),IF(G$28="Yes",G25,F44),IF(H$28="Yes",H25,F44),IF(I$28="Yes",I25,F44)),0)</f>
        <v>6</v>
      </c>
      <c r="K25" s="112"/>
      <c r="L25" s="41"/>
      <c r="N25" t="s">
        <v>64</v>
      </c>
      <c r="P25" s="20">
        <f>MAX(0,R24-P23)</f>
        <v>0</v>
      </c>
    </row>
    <row r="26" spans="2:18" ht="12.75" customHeight="1" x14ac:dyDescent="0.25">
      <c r="B26" s="5"/>
      <c r="E26" s="64" t="s">
        <v>65</v>
      </c>
      <c r="F26" s="79">
        <f>IF(AND($F$5&lt;$F$17,$F$6&gt;0),2.46+(0.5483*($F$6)^0.5463),0)</f>
        <v>0</v>
      </c>
      <c r="G26" s="79">
        <f>IF(AND($F$5&lt;$G$17,$F$6&gt;0),2.48+(0.6026*($F$6)^0.5474*IF($I$6=0,1,VLOOKUP($F$6,Table!B4:Q19,$I$6/2+2,TRUE))),0)</f>
        <v>0</v>
      </c>
      <c r="H26" s="79">
        <f>IF(AND($F$5&lt;$H$17,$F$6&gt;0),2.72+(0.5333*($F$6)^0.5348*IF($I$6=0,1,VLOOKUP($F$6,Table!B4:Q19,$I$6/2+7,TRUE))),0)</f>
        <v>0</v>
      </c>
      <c r="I26" s="79">
        <f>IF(AND($F$5&lt;$I$17,$F$6&gt;0),3.99+(1.2559*($F$6)^0.5188*IF($I$6=0,1,VLOOKUP($F$6,Table!B4:Q19,$I$6/2+12,TRUE))),0)</f>
        <v>0</v>
      </c>
      <c r="J26" s="80">
        <f>ROUND(MAX(IF(F$28="Yes",F26),IF(G$28="Yes",G26),IF(H$28="Yes",H26),IF(I$28="Yes",I26)),0)</f>
        <v>0</v>
      </c>
      <c r="K26" s="113"/>
      <c r="L26" s="97"/>
      <c r="P26" s="20"/>
    </row>
    <row r="27" spans="2:18" ht="12.75" customHeight="1" x14ac:dyDescent="0.25">
      <c r="B27" s="5"/>
      <c r="E27" s="64" t="s">
        <v>57</v>
      </c>
      <c r="F27" s="79">
        <f>IF(AND($F$8&gt;0,$F$9="Yes"),MAX(0,(0.5483*($F$8+F17)^0.5463)),0)</f>
        <v>0</v>
      </c>
      <c r="G27" s="79">
        <f>IF(AND($F$8&gt;0,$F$9="Yes"),MAX(0,(0.6026*($F$8+G17)^0.5474*IF($I$8=0,1,VLOOKUP($F$8+G17,Table!B4:Q19,$I$8/2+2,TRUE)))),0)</f>
        <v>0</v>
      </c>
      <c r="H27" s="79">
        <f>IF(AND($F$8&gt;0,$F$9="Yes"),MAX(0,(0.5333*($F$8+H17)^0.5348*IF($I$8=0,1,VLOOKUP($F$8+H17,Table!B4:Q19,$I$8/2+7,TRUE)))),0)</f>
        <v>0</v>
      </c>
      <c r="I27" s="79">
        <f>IF(AND($F$8&gt;0,$F$9="Yes"),MAX(0,(1.2559*($F$8+I17)^0.5188*IF($I$8=0,1,VLOOKUP($F$8+I17,Table!B4:Q19,$I$8/2+12,TRUE)))),0)</f>
        <v>0</v>
      </c>
      <c r="J27" s="80">
        <f>ROUND(MAX(IF(F$28="Yes",F27),IF(G$28="Yes",G27),IF(H$28="Yes",H27),IF(I$28="Yes",I27)),0)</f>
        <v>0</v>
      </c>
      <c r="K27" s="113"/>
      <c r="L27" s="97"/>
    </row>
    <row r="28" spans="2:18" ht="12.75" customHeight="1" x14ac:dyDescent="0.25">
      <c r="B28" s="5"/>
      <c r="E28" s="102" t="s">
        <v>87</v>
      </c>
      <c r="F28" s="81" t="s">
        <v>20</v>
      </c>
      <c r="G28" s="81" t="s">
        <v>20</v>
      </c>
      <c r="H28" s="81" t="s">
        <v>20</v>
      </c>
      <c r="I28" s="81" t="s">
        <v>20</v>
      </c>
      <c r="J28" s="82" t="s">
        <v>37</v>
      </c>
      <c r="K28" s="113"/>
      <c r="L28" s="97"/>
    </row>
    <row r="29" spans="2:18" ht="12.75" customHeight="1" x14ac:dyDescent="0.25">
      <c r="B29" s="5"/>
      <c r="E29" s="9"/>
      <c r="F29" s="11"/>
      <c r="G29" s="11"/>
      <c r="H29" s="11"/>
      <c r="I29" s="11"/>
      <c r="J29" s="3"/>
      <c r="K29" s="112"/>
      <c r="L29" s="98"/>
    </row>
    <row r="30" spans="2:18" ht="12.75" customHeight="1" x14ac:dyDescent="0.25">
      <c r="B30" s="95" t="s">
        <v>51</v>
      </c>
      <c r="C30" s="35"/>
      <c r="D30" s="35"/>
      <c r="E30" s="38"/>
      <c r="F30" s="39"/>
      <c r="G30" s="39"/>
      <c r="H30" s="39"/>
      <c r="I30" s="39"/>
      <c r="J30" s="37"/>
      <c r="K30" s="112"/>
      <c r="L30" s="98"/>
    </row>
    <row r="31" spans="2:18" ht="12.75" customHeight="1" x14ac:dyDescent="0.3">
      <c r="B31" s="5"/>
      <c r="E31" s="7" t="s">
        <v>21</v>
      </c>
      <c r="F31" s="65">
        <f>IF(F51="Yes",MAX(J21+J22,J21+J23-J25+F44),J21+MAX(J22,J24))</f>
        <v>16</v>
      </c>
      <c r="G31" s="66" t="s">
        <v>22</v>
      </c>
      <c r="H31" s="16" t="str">
        <f>IF(F$51="Yes",IF(F31&gt;(J21+J22),"Green Track Clearance",""),"")</f>
        <v/>
      </c>
      <c r="I31" s="10"/>
      <c r="J31" s="3"/>
      <c r="K31" s="113"/>
      <c r="L31" s="97"/>
    </row>
    <row r="32" spans="2:18" ht="12.75" customHeight="1" x14ac:dyDescent="0.3">
      <c r="B32" s="5"/>
      <c r="E32" s="7" t="s">
        <v>23</v>
      </c>
      <c r="F32" s="67">
        <f>J21+J24</f>
        <v>16</v>
      </c>
      <c r="G32" s="6" t="s">
        <v>22</v>
      </c>
      <c r="H32" s="16" t="str">
        <f>IF(F$51="Yes",IF(F31&gt;(J21+J22),"extended to Gate Down",""),"")</f>
        <v/>
      </c>
      <c r="J32" s="3"/>
      <c r="K32" s="111"/>
      <c r="L32" s="99"/>
    </row>
    <row r="33" spans="2:12" ht="12.75" customHeight="1" x14ac:dyDescent="0.3">
      <c r="B33" s="5"/>
      <c r="E33" s="7" t="s">
        <v>59</v>
      </c>
      <c r="F33" s="68">
        <v>0</v>
      </c>
      <c r="G33" s="6" t="s">
        <v>22</v>
      </c>
      <c r="H33" s="16"/>
      <c r="J33" s="3"/>
      <c r="K33" s="111"/>
      <c r="L33" s="99"/>
    </row>
    <row r="34" spans="2:12" ht="12.75" customHeight="1" x14ac:dyDescent="0.3">
      <c r="B34" s="5"/>
      <c r="E34" s="7" t="s">
        <v>71</v>
      </c>
      <c r="F34" s="68">
        <v>0</v>
      </c>
      <c r="G34" s="6" t="s">
        <v>22</v>
      </c>
      <c r="H34" s="12"/>
      <c r="J34" s="3"/>
      <c r="K34" s="109"/>
      <c r="L34" s="100"/>
    </row>
    <row r="35" spans="2:12" ht="12.75" customHeight="1" x14ac:dyDescent="0.3">
      <c r="B35" s="5"/>
      <c r="E35" s="7" t="s">
        <v>60</v>
      </c>
      <c r="F35" s="68">
        <v>0</v>
      </c>
      <c r="G35" s="6" t="s">
        <v>22</v>
      </c>
      <c r="H35" s="12"/>
      <c r="J35" s="3"/>
      <c r="K35" s="111"/>
      <c r="L35" s="99"/>
    </row>
    <row r="36" spans="2:12" ht="12.75" customHeight="1" thickBot="1" x14ac:dyDescent="0.35">
      <c r="B36" s="5"/>
      <c r="E36" s="64" t="s">
        <v>61</v>
      </c>
      <c r="F36" s="69">
        <v>6.5</v>
      </c>
      <c r="G36" s="6" t="s">
        <v>22</v>
      </c>
      <c r="H36" s="12"/>
      <c r="J36" s="3"/>
      <c r="K36" s="111"/>
      <c r="L36" s="99"/>
    </row>
    <row r="37" spans="2:12" ht="12.75" customHeight="1" x14ac:dyDescent="0.3">
      <c r="B37" s="5"/>
      <c r="E37" s="64" t="s">
        <v>24</v>
      </c>
      <c r="F37" s="70">
        <f>ROUND(MAX(F33+F34,F35)+F36,0)</f>
        <v>7</v>
      </c>
      <c r="G37" s="6" t="s">
        <v>22</v>
      </c>
      <c r="H37" s="12"/>
      <c r="J37" s="3"/>
      <c r="K37" s="113"/>
      <c r="L37" s="97"/>
    </row>
    <row r="38" spans="2:12" ht="12.75" customHeight="1" thickBot="1" x14ac:dyDescent="0.35">
      <c r="B38" s="5"/>
      <c r="E38" s="64" t="s">
        <v>25</v>
      </c>
      <c r="F38" s="71">
        <v>0</v>
      </c>
      <c r="G38" s="6" t="s">
        <v>22</v>
      </c>
      <c r="H38" s="16" t="str">
        <f>IF(F$51="Yes","See Preemption Timeline","")</f>
        <v/>
      </c>
      <c r="J38" s="3"/>
      <c r="K38" s="111"/>
    </row>
    <row r="39" spans="2:12" ht="12.75" customHeight="1" x14ac:dyDescent="0.3">
      <c r="B39" s="5"/>
      <c r="E39" s="64" t="s">
        <v>26</v>
      </c>
      <c r="F39" s="72">
        <f>IF(F51="Yes",F47+F54+F56,F32+F37+F38)</f>
        <v>23</v>
      </c>
      <c r="G39" s="6" t="s">
        <v>22</v>
      </c>
      <c r="H39" s="16" t="str">
        <f>IF(F$51="Yes","for actual Separation Time","")</f>
        <v/>
      </c>
      <c r="J39" s="3"/>
      <c r="K39" s="111"/>
    </row>
    <row r="40" spans="2:12" ht="12.75" customHeight="1" thickBot="1" x14ac:dyDescent="0.3">
      <c r="B40" s="13"/>
      <c r="C40" s="14"/>
      <c r="D40" s="14"/>
      <c r="E40" s="53"/>
      <c r="F40" s="14"/>
      <c r="G40" s="14"/>
      <c r="H40" s="14"/>
      <c r="I40" s="14"/>
      <c r="J40" s="15"/>
      <c r="K40" s="111"/>
    </row>
    <row r="41" spans="2:12" ht="12.75" customHeight="1" x14ac:dyDescent="0.25">
      <c r="B41" s="96" t="s">
        <v>52</v>
      </c>
      <c r="C41" s="50"/>
      <c r="D41" s="50"/>
      <c r="E41" s="50"/>
      <c r="F41" s="50"/>
      <c r="G41" s="50"/>
      <c r="H41" s="50"/>
      <c r="I41" s="50"/>
      <c r="J41" s="52"/>
      <c r="K41" s="111"/>
    </row>
    <row r="42" spans="2:12" ht="12.75" customHeight="1" x14ac:dyDescent="0.25">
      <c r="B42" s="48"/>
      <c r="C42" s="40"/>
      <c r="D42" s="40"/>
      <c r="E42" s="40"/>
      <c r="F42" s="34"/>
      <c r="G42" s="40"/>
      <c r="H42" s="40"/>
      <c r="I42" s="40"/>
      <c r="J42" s="49"/>
      <c r="K42" s="111"/>
    </row>
    <row r="43" spans="2:12" ht="12.75" customHeight="1" x14ac:dyDescent="0.25">
      <c r="B43" s="5"/>
      <c r="E43" s="64" t="s">
        <v>3</v>
      </c>
      <c r="F43" s="86">
        <v>3</v>
      </c>
      <c r="G43" s="6" t="s">
        <v>22</v>
      </c>
      <c r="J43" s="3"/>
      <c r="K43" s="111"/>
    </row>
    <row r="44" spans="2:12" ht="12.75" customHeight="1" x14ac:dyDescent="0.25">
      <c r="B44" s="5"/>
      <c r="E44" s="64" t="s">
        <v>2</v>
      </c>
      <c r="F44" s="86">
        <v>12</v>
      </c>
      <c r="G44" s="6" t="s">
        <v>22</v>
      </c>
      <c r="J44" s="3"/>
      <c r="K44" s="111"/>
    </row>
    <row r="45" spans="2:12" ht="12.75" customHeight="1" x14ac:dyDescent="0.25">
      <c r="B45" s="5"/>
      <c r="E45" s="64" t="s">
        <v>27</v>
      </c>
      <c r="F45" s="87">
        <v>20</v>
      </c>
      <c r="G45" s="6" t="s">
        <v>22</v>
      </c>
      <c r="J45" s="3"/>
      <c r="K45" s="109"/>
      <c r="L45" s="63"/>
    </row>
    <row r="46" spans="2:12" ht="12.75" customHeight="1" thickBot="1" x14ac:dyDescent="0.3">
      <c r="B46" s="5"/>
      <c r="E46" s="64" t="s">
        <v>28</v>
      </c>
      <c r="F46" s="88">
        <v>4</v>
      </c>
      <c r="G46" s="6" t="s">
        <v>22</v>
      </c>
      <c r="H46" s="94">
        <f>IF(F11&gt;35,ROUNDUP((F11-35)/10,0),0)</f>
        <v>0</v>
      </c>
      <c r="I46" s="94" t="s">
        <v>62</v>
      </c>
      <c r="J46" s="3"/>
      <c r="K46" s="109"/>
      <c r="L46" s="63"/>
    </row>
    <row r="47" spans="2:12" ht="12.75" customHeight="1" x14ac:dyDescent="0.25">
      <c r="B47" s="5"/>
      <c r="E47" s="64" t="s">
        <v>29</v>
      </c>
      <c r="F47" s="89">
        <f>SUM(F45:F46)</f>
        <v>24</v>
      </c>
      <c r="G47" s="6" t="s">
        <v>22</v>
      </c>
      <c r="J47" s="3"/>
      <c r="K47" s="111"/>
    </row>
    <row r="48" spans="2:12" ht="12.75" customHeight="1" x14ac:dyDescent="0.25">
      <c r="B48" s="5"/>
      <c r="E48" s="64" t="s">
        <v>30</v>
      </c>
      <c r="F48" s="87">
        <v>5</v>
      </c>
      <c r="G48" s="6" t="s">
        <v>22</v>
      </c>
      <c r="J48" s="3"/>
      <c r="K48" s="111"/>
    </row>
    <row r="49" spans="2:17" ht="12.75" customHeight="1" thickBot="1" x14ac:dyDescent="0.3">
      <c r="B49" s="5"/>
      <c r="E49" s="102" t="s">
        <v>80</v>
      </c>
      <c r="F49" s="114"/>
      <c r="G49" s="105" t="s">
        <v>22</v>
      </c>
      <c r="J49" s="3"/>
      <c r="K49" s="111"/>
    </row>
    <row r="50" spans="2:17" ht="12.75" customHeight="1" x14ac:dyDescent="0.25">
      <c r="B50" s="5"/>
      <c r="E50" s="102" t="s">
        <v>79</v>
      </c>
      <c r="F50" s="89">
        <f>SUM(F47:F49)</f>
        <v>29</v>
      </c>
      <c r="G50" s="6" t="s">
        <v>22</v>
      </c>
      <c r="I50" s="104"/>
      <c r="J50" s="3"/>
      <c r="K50" s="111"/>
    </row>
    <row r="51" spans="2:17" ht="12.75" customHeight="1" x14ac:dyDescent="0.25">
      <c r="B51" s="5"/>
      <c r="E51" s="102" t="s">
        <v>39</v>
      </c>
      <c r="F51" s="90" t="s">
        <v>42</v>
      </c>
      <c r="G51" s="6"/>
      <c r="J51" s="3"/>
      <c r="K51" s="111"/>
    </row>
    <row r="52" spans="2:17" ht="12.75" customHeight="1" x14ac:dyDescent="0.25">
      <c r="B52" s="5"/>
      <c r="E52" s="102" t="s">
        <v>38</v>
      </c>
      <c r="F52" s="91">
        <v>10</v>
      </c>
      <c r="G52" s="6" t="s">
        <v>4</v>
      </c>
      <c r="J52" s="3"/>
      <c r="K52" s="111"/>
    </row>
    <row r="53" spans="2:17" ht="12.75" customHeight="1" x14ac:dyDescent="0.25">
      <c r="B53" s="5"/>
      <c r="E53" s="102"/>
      <c r="F53" s="6"/>
      <c r="G53" s="6"/>
      <c r="J53" s="3"/>
      <c r="K53" s="111"/>
    </row>
    <row r="54" spans="2:17" ht="12.75" customHeight="1" thickBot="1" x14ac:dyDescent="0.3">
      <c r="B54" s="5"/>
      <c r="E54" s="102" t="s">
        <v>85</v>
      </c>
      <c r="F54" s="107">
        <f>IF(F51="Yes",MAX(J26,J27+J21+J23-F43-J25,F37+J21+J23-F43-J25),MAX(J26,J27-F47+F38+F32,F39-F47,0))-SUM(F33:F34)</f>
        <v>0</v>
      </c>
      <c r="G54" s="6" t="s">
        <v>22</v>
      </c>
      <c r="H54" s="28"/>
      <c r="J54" s="3"/>
    </row>
    <row r="55" spans="2:17" ht="12.75" customHeight="1" x14ac:dyDescent="0.25">
      <c r="B55" s="5"/>
      <c r="E55" s="102" t="s">
        <v>86</v>
      </c>
      <c r="F55" s="106">
        <f>F$50+F54</f>
        <v>29</v>
      </c>
      <c r="G55" s="105" t="s">
        <v>22</v>
      </c>
      <c r="H55" s="28"/>
      <c r="I55" s="104"/>
      <c r="J55" s="3"/>
    </row>
    <row r="56" spans="2:17" ht="12.75" customHeight="1" thickBot="1" x14ac:dyDescent="0.3">
      <c r="B56" s="5"/>
      <c r="E56" s="102" t="s">
        <v>83</v>
      </c>
      <c r="F56" s="108">
        <f>SUM(F33:F34)</f>
        <v>0</v>
      </c>
      <c r="G56" s="6" t="s">
        <v>22</v>
      </c>
      <c r="J56" s="3"/>
    </row>
    <row r="57" spans="2:17" ht="12.75" customHeight="1" x14ac:dyDescent="0.25">
      <c r="B57" s="5"/>
      <c r="E57" s="102" t="s">
        <v>88</v>
      </c>
      <c r="F57" s="106" t="str">
        <f>IF(F$56=0,"N/A",F$50+F54+F56)</f>
        <v>N/A</v>
      </c>
      <c r="G57" s="105" t="s">
        <v>22</v>
      </c>
      <c r="I57" s="104"/>
      <c r="J57" s="3"/>
    </row>
    <row r="58" spans="2:17" ht="12.75" customHeight="1" x14ac:dyDescent="0.25">
      <c r="B58" s="5"/>
      <c r="E58" s="54"/>
      <c r="J58" s="3"/>
      <c r="P58" s="9" t="s">
        <v>45</v>
      </c>
      <c r="Q58" s="23" t="s">
        <v>42</v>
      </c>
    </row>
    <row r="59" spans="2:17" ht="12.75" customHeight="1" thickBot="1" x14ac:dyDescent="0.3">
      <c r="B59" s="5"/>
      <c r="E59" s="102" t="s">
        <v>81</v>
      </c>
      <c r="F59" s="92">
        <v>5</v>
      </c>
      <c r="G59" s="6" t="s">
        <v>22</v>
      </c>
      <c r="H59" s="54"/>
      <c r="J59" s="3"/>
    </row>
    <row r="60" spans="2:17" ht="12.75" customHeight="1" x14ac:dyDescent="0.25">
      <c r="B60" s="5"/>
      <c r="E60" s="102" t="s">
        <v>82</v>
      </c>
      <c r="F60" s="72">
        <f>SUM(F50,F54,F56,F59)</f>
        <v>34</v>
      </c>
      <c r="G60" s="6" t="s">
        <v>22</v>
      </c>
      <c r="H60" s="54"/>
      <c r="J60" s="3"/>
    </row>
    <row r="61" spans="2:17" ht="12.75" customHeight="1" x14ac:dyDescent="0.25">
      <c r="B61" s="5"/>
      <c r="E61" s="7" t="s">
        <v>31</v>
      </c>
      <c r="F61" s="91">
        <v>75</v>
      </c>
      <c r="G61" s="6" t="s">
        <v>32</v>
      </c>
      <c r="H61" s="54"/>
      <c r="J61" s="3"/>
    </row>
    <row r="62" spans="2:17" ht="12.75" customHeight="1" x14ac:dyDescent="0.25">
      <c r="B62" s="5"/>
      <c r="E62" s="64" t="s">
        <v>33</v>
      </c>
      <c r="F62" s="93">
        <f>ROUND(F60*F61*22/15,0)</f>
        <v>3740</v>
      </c>
      <c r="G62" s="6" t="s">
        <v>4</v>
      </c>
      <c r="H62" s="54"/>
      <c r="J62" s="3"/>
    </row>
    <row r="63" spans="2:17" ht="12.75" customHeight="1" thickBot="1" x14ac:dyDescent="0.3">
      <c r="B63" s="13"/>
      <c r="C63" s="14"/>
      <c r="D63" s="14"/>
      <c r="E63" s="14"/>
      <c r="F63" s="14"/>
      <c r="G63" s="14"/>
      <c r="H63" s="14"/>
      <c r="I63" s="14"/>
      <c r="J63" s="15"/>
    </row>
  </sheetData>
  <sheetProtection algorithmName="SHA-512" hashValue="mSOkuNwmgpbRAzjxJpwazv8pEgVnni9RdiRZyucTXMqjDGBVTBLWA6NgHZRMrTiEvH9cSEfqnIFJ+ScOTBq4Kg==" saltValue="aySGdfLg0yHVyOxvhgDEWg==" spinCount="100000" sheet="1" objects="1" scenarios="1"/>
  <mergeCells count="6">
    <mergeCell ref="R2:S2"/>
    <mergeCell ref="C2:F2"/>
    <mergeCell ref="G2:H2"/>
    <mergeCell ref="I2:J2"/>
    <mergeCell ref="N2:O2"/>
    <mergeCell ref="P2:Q2"/>
  </mergeCells>
  <dataValidations count="35">
    <dataValidation type="list" showInputMessage="1" showErrorMessage="1" errorTitle="MCMD" error="Out of range (Yes or No)" promptTitle="MCMD" prompt="Include MCMD per Diagnostic Team?" sqref="F9" xr:uid="{D3AFCF15-87AF-46A5-88E7-A62D381E989D}">
      <formula1>"Yes,No"</formula1>
    </dataValidation>
    <dataValidation allowBlank="1" showInputMessage="1" showErrorMessage="1" promptTitle="Crossing Number" prompt="Enter the crossing number" sqref="I2:J2" xr:uid="{A5E16D31-16B0-419B-A614-39494C491097}"/>
    <dataValidation allowBlank="1" showInputMessage="1" showErrorMessage="1" promptTitle="Street Name" prompt="Enter name of the street crossing the tracks" sqref="C2:F2" xr:uid="{2EBACF4E-90BE-4CA9-BD5C-D8219A005085}"/>
    <dataValidation type="decimal" showInputMessage="1" showErrorMessage="1" errorTitle="Grade" error="Out of range (0-10%)" promptTitle="Grade" prompt="In percent" sqref="I11 I6 I8:I9" xr:uid="{5EBD717F-1858-45C2-BDC9-D305ED227FBF}">
      <formula1>0</formula1>
      <formula2>10</formula2>
    </dataValidation>
    <dataValidation type="list" showInputMessage="1" showErrorMessage="1" errorTitle="Preemption Timeline" error="Out of range (Yes or No)" promptTitle="Preemption Timeline" prompt="Displays Minimum RWTT?" sqref="Q58" xr:uid="{F67BCE89-07C3-4F72-88B2-B27397C44AA2}">
      <formula1>"Yes,No"</formula1>
    </dataValidation>
    <dataValidation type="list" showInputMessage="1" showErrorMessage="1" errorTitle="Vehicle-Gate Interaction" error="Out of range (Yes or No)" promptTitle="Vehicle-Gate Interaction" prompt="Perform Vehicle-Gate Interaction Check?" sqref="F51" xr:uid="{620B6632-7362-45D6-B347-EA0B0911BAAB}">
      <formula1>"Yes,No"</formula1>
    </dataValidation>
    <dataValidation type="decimal" allowBlank="1" showInputMessage="1" showErrorMessage="1" errorTitle="Gate" error="Out of range (4-20 ft)" promptTitle="Distance from gate to vehicle" prompt="In feet" sqref="F52" xr:uid="{B2EE6928-E2FA-455D-ABF4-5CAD87257185}">
      <formula1>4</formula1>
      <formula2>20</formula2>
    </dataValidation>
    <dataValidation type="whole" showInputMessage="1" showErrorMessage="1" errorTitle="Car" error="Out of range (4-10 ft)" promptTitle="Car" prompt="Vehicle height in feet" sqref="F18" xr:uid="{66A4A638-351F-4D68-B511-6115B1E795D7}">
      <formula1>4</formula1>
      <formula2>10</formula2>
    </dataValidation>
    <dataValidation type="whole" showInputMessage="1" showErrorMessage="1" errorTitle="Truck" error="Out of range (12-15 ft)" promptTitle="Truck" prompt="Vehicle height in feet" sqref="G18" xr:uid="{0B8D8AFE-3ADC-4C3D-85B9-A5057209F84B}">
      <formula1>12</formula1>
      <formula2>15</formula2>
    </dataValidation>
    <dataValidation type="decimal" allowBlank="1" showInputMessage="1" showErrorMessage="1" errorTitle="Bus" error="Out of range (10-15 ft)" promptTitle="Bus" prompt="Vehicle height in feet" sqref="H18" xr:uid="{F56B98E3-914C-4774-BE8A-6195FA63077A}">
      <formula1>10</formula1>
      <formula2>15</formula2>
    </dataValidation>
    <dataValidation type="whole" allowBlank="1" showInputMessage="1" showErrorMessage="1" errorTitle="Semi" error="Out of range (12-15 ft)" promptTitle="Semi" prompt="Vehicle height in feet" sqref="I18" xr:uid="{E2269E14-476A-46C0-B087-A1A5EA879D38}">
      <formula1>12</formula1>
      <formula2>15</formula2>
    </dataValidation>
    <dataValidation type="list" showInputMessage="1" showErrorMessage="1" errorTitle="Bus" error="Out of range (Yes or No)" promptTitle="Bus" prompt="Include as Design Vehicle?" sqref="H28" xr:uid="{F7BE9C88-DBAA-4EBF-B8D0-65246A0695C5}">
      <formula1>"Yes,No"</formula1>
    </dataValidation>
    <dataValidation type="list" showInputMessage="1" showErrorMessage="1" errorTitle="Truck" error="Out of range (Yes or No)" promptTitle="Truck" prompt="Include as Design Vehicle?" sqref="G28" xr:uid="{61A94CDC-5397-4C91-A55E-9AC34199E294}">
      <formula1>"Yes,No"</formula1>
    </dataValidation>
    <dataValidation type="list" showInputMessage="1" showErrorMessage="1" errorTitle="Car" error="Out of range (Yes or No)" promptTitle="Car" prompt="Include as Design Vehicle?" sqref="F28" xr:uid="{3B578DFD-B33D-4A59-B614-F110E64A83F6}">
      <formula1>"Yes,No"</formula1>
    </dataValidation>
    <dataValidation type="whole" allowBlank="1" showInputMessage="1" showErrorMessage="1" errorTitle="Maximum Authorized Speed" error="Out of range (5-100 mph)" promptTitle="Maximum Authorized Speed" prompt="In MPH" sqref="F61" xr:uid="{D6C3F18B-BC61-45A8-B87C-50FE34F9762B}">
      <formula1>5</formula1>
      <formula2>100</formula2>
    </dataValidation>
    <dataValidation type="whole" operator="greaterThanOrEqual" showInputMessage="1" showErrorMessage="1" errorTitle="Equipment Response Time" error="Out of range (minimum 0 seconds)" promptTitle="Equipment Response Time" prompt="In seconds" sqref="F59 F49" xr:uid="{FF8F1006-23B9-408D-9796-FBFA88645B32}">
      <formula1>0</formula1>
    </dataValidation>
    <dataValidation type="whole" operator="greaterThanOrEqual" showInputMessage="1" showErrorMessage="1" errorTitle="Buffer Time" error="Out of range (minimum 0 seconds)" promptTitle="Buffer Time" prompt="In seconds" sqref="F48" xr:uid="{36E26F67-F6E4-4633-9F38-42AA8F9E2C73}">
      <formula1>0</formula1>
    </dataValidation>
    <dataValidation type="whole" operator="greaterThanOrEqual" showInputMessage="1" showErrorMessage="1" errorTitle="Clearance Time" error="Out of range (minimum 0 seconds)" promptTitle="Clearance Time" prompt="In seconds" sqref="F46" xr:uid="{D2048482-3BAA-4B10-AAFB-61B53158DCD8}">
      <formula1>0</formula1>
    </dataValidation>
    <dataValidation type="whole" operator="greaterThanOrEqual" showInputMessage="1" showErrorMessage="1" errorTitle="Minimum Time" error="Out of range (minimum 20 seconds)" promptTitle="Minimum Time" prompt="In seconds" sqref="F45" xr:uid="{63C55B2A-A0E1-4291-9776-DDDD13367251}">
      <formula1>20</formula1>
    </dataValidation>
    <dataValidation type="whole" showInputMessage="1" showErrorMessage="1" errorTitle="Gate Descent" error="Out of range (8-20 seconds)" promptTitle="Gate Descent" prompt="Time in seconds" sqref="F44" xr:uid="{46A1665D-7100-4155-AA2B-C2AFEF1FB7BC}">
      <formula1>8</formula1>
      <formula2>20</formula2>
    </dataValidation>
    <dataValidation type="whole" showInputMessage="1" showErrorMessage="1" errorTitle="Lights Flash" error="Out of range (3-9 seconds)" promptTitle="Lights Flash" prompt="Time in seconds" sqref="F43" xr:uid="{2C7923DF-BEA9-4C81-BF60-5089232CB6A5}">
      <formula1>3</formula1>
      <formula2>9</formula2>
    </dataValidation>
    <dataValidation type="whole" operator="greaterThanOrEqual" allowBlank="1" showInputMessage="1" showErrorMessage="1" errorTitle="Separation Time" error="Out of range (minimum 0 seconds)" promptTitle="Separation Time" prompt="In seconds" sqref="F38" xr:uid="{F3B55BFB-A34E-4FF4-B5B3-6CB53E663521}">
      <formula1>0</formula1>
    </dataValidation>
    <dataValidation type="decimal" operator="greaterThanOrEqual" showInputMessage="1" showErrorMessage="1" errorTitle="Maximum Yellow plus All Red" error="Out of range (minimum 3.0 seconds)" promptTitle="Maximum Yellow plus All Red" prompt="Time in seconds" sqref="F36" xr:uid="{5DB3E1FA-C8A4-4F49-9C90-0992FE8C5F7C}">
      <formula1>3</formula1>
    </dataValidation>
    <dataValidation type="whole" operator="greaterThanOrEqual" showInputMessage="1" showErrorMessage="1" errorTitle="Minimum Green" error="Out of range (minimum 0 seconds)" promptTitle="Minimum Green" prompt="Time in seconds" sqref="F35" xr:uid="{B775DA75-8B82-4095-AB49-3A85BF2DF2EC}">
      <formula1>0</formula1>
    </dataValidation>
    <dataValidation type="whole" operator="greaterThanOrEqual" showInputMessage="1" showErrorMessage="1" errorTitle="Maximum Ped Clear" error="Out of range (minimum 0 seconds)" promptTitle="Maximum Ped Clear" prompt="Time in seconds" sqref="F34" xr:uid="{E3BA2598-19F1-45FB-A8FE-7611EA26AB9D}">
      <formula1>0</formula1>
    </dataValidation>
    <dataValidation type="whole" operator="greaterThanOrEqual" showInputMessage="1" showErrorMessage="1" errorTitle="Minimum Walk" error="Out of range (minimum 0 seconds)" promptTitle="Minimum Walk" prompt="Time in seconds" sqref="F33" xr:uid="{347166D0-BBAD-4A92-94C6-8017B50DD6D7}">
      <formula1>0</formula1>
    </dataValidation>
    <dataValidation type="whole" operator="greaterThanOrEqual" showInputMessage="1" showErrorMessage="1" errorTitle="Clear Storage Distance" error="Out of range (minimum 0 ft)" promptTitle="Clear Storage Distance" prompt="In feet" sqref="F12" xr:uid="{F8FC364D-5CEB-465C-A437-1EFD72462805}">
      <formula1>0</formula1>
    </dataValidation>
    <dataValidation type="whole" operator="greaterThanOrEqual" showInputMessage="1" showErrorMessage="1" errorTitle="Minimum Track Clearance Distance" error="Out of range (minimum 20 ft)" promptTitle="Minimum Track Clearance Distance" prompt="In feet" sqref="F11" xr:uid="{08FE2A32-2A46-4B22-85AB-C40E8ED43904}">
      <formula1>20</formula1>
    </dataValidation>
    <dataValidation type="whole" allowBlank="1" showInputMessage="1" showErrorMessage="1" errorTitle="Semi" error="Out of range (50-75 ft)" promptTitle="Semi" prompt="Vehicle length in feet" sqref="I17" xr:uid="{2E309F58-1620-46BA-B75A-136606CAA389}">
      <formula1>50</formula1>
      <formula2>75</formula2>
    </dataValidation>
    <dataValidation type="decimal" allowBlank="1" showInputMessage="1" showErrorMessage="1" errorTitle="Bus" error="Out of range (30-60 ft)" promptTitle="Bus" prompt="Vehicle length in feet" sqref="H17" xr:uid="{94FB3C63-73A7-45BD-940F-A09B971FF476}">
      <formula1>30</formula1>
      <formula2>60</formula2>
    </dataValidation>
    <dataValidation type="whole" showInputMessage="1" showErrorMessage="1" errorTitle="Truck" error="Out of range (20-40 ft)" promptTitle="Truck" prompt="Vehicle length in feet" sqref="G17" xr:uid="{916492F9-14E8-4B6A-9FE0-FBF8F4A30B2D}">
      <formula1>20</formula1>
      <formula2>40</formula2>
    </dataValidation>
    <dataValidation type="whole" showInputMessage="1" showErrorMessage="1" errorTitle="Car" error="Out of range (15-20 ft)" promptTitle="Car" prompt="Vehicle length in feet" sqref="F17" xr:uid="{1C813D48-3ADF-4D34-A25C-9140860EA7D9}">
      <formula1>15</formula1>
      <formula2>20</formula2>
    </dataValidation>
    <dataValidation type="list" showInputMessage="1" showErrorMessage="1" errorTitle="Semi" error="Out of range (Yes or No)" promptTitle="Semi" prompt="Include as Design Vehicle?" sqref="I28" xr:uid="{C19B8EDB-A2D5-4CDB-8587-2FF94F26107A}">
      <formula1>"Yes,No"</formula1>
    </dataValidation>
    <dataValidation type="whole" operator="greaterThanOrEqual" showInputMessage="1" showErrorMessage="1" errorTitle="Approach Storage Distance" error="Out of range (minimum 0 ft)" promptTitle="Approach Storage Distance" prompt="In feet" sqref="F5" xr:uid="{9F640C58-199D-4C34-9869-EBB06CDDACEC}">
      <formula1>0</formula1>
    </dataValidation>
    <dataValidation type="whole" operator="greaterThanOrEqual" showInputMessage="1" showErrorMessage="1" errorTitle="Max Conflicting Move Distance" error="Out of range (minimum 0 ft)" promptTitle="Max Conflicting Move Distance" prompt="In feet" sqref="F6 F8" xr:uid="{81E3C112-FDEA-41DD-AC4A-5DDBA0D14C7D}">
      <formula1>0</formula1>
    </dataValidation>
  </dataValidations>
  <printOptions horizontalCentered="1" verticalCentered="1"/>
  <pageMargins left="0.75" right="0.5" top="0.25" bottom="0.25" header="0.5" footer="0.5"/>
  <pageSetup scale="95" fitToWidth="0" orientation="portrait" horizontalDpi="300" verticalDpi="300" r:id="rId1"/>
  <headerFooter alignWithMargins="0"/>
  <colBreaks count="1" manualBreakCount="1">
    <brk id="11" max="6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3f3deaa-1cd1-4972-954a-fc92bcb05415" xsi:nil="true"/>
    <lcf76f155ced4ddcb4097134ff3c332f xmlns="7b4e963e-523e-415c-a2ca-d700de04a9b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D42A676BC1A048B81EC9533B3428F5" ma:contentTypeVersion="8" ma:contentTypeDescription="Create a new document." ma:contentTypeScope="" ma:versionID="7552abcb105e02e53839ae9d3e25fd2e">
  <xsd:schema xmlns:xsd="http://www.w3.org/2001/XMLSchema" xmlns:xs="http://www.w3.org/2001/XMLSchema" xmlns:p="http://schemas.microsoft.com/office/2006/metadata/properties" xmlns:ns2="7b4e963e-523e-415c-a2ca-d700de04a9b7" xmlns:ns3="f3f3deaa-1cd1-4972-954a-fc92bcb05415" targetNamespace="http://schemas.microsoft.com/office/2006/metadata/properties" ma:root="true" ma:fieldsID="baaa9ca47e1223d2f2c9fa8d2d63deb1" ns2:_="" ns3:_="">
    <xsd:import namespace="7b4e963e-523e-415c-a2ca-d700de04a9b7"/>
    <xsd:import namespace="f3f3deaa-1cd1-4972-954a-fc92bcb0541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4e963e-523e-415c-a2ca-d700de04a9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e0554e-cdf4-4646-9102-d038af87fbd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f3deaa-1cd1-4972-954a-fc92bcb0541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d590a1a-e910-486b-ab05-ecf96abefae4}" ma:internalName="TaxCatchAll" ma:showField="CatchAllData" ma:web="f3f3deaa-1cd1-4972-954a-fc92bcb054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155212-B95A-4052-8C61-9CE27435C108}">
  <ds:schemaRefs>
    <ds:schemaRef ds:uri="http://schemas.microsoft.com/office/2006/metadata/properties"/>
    <ds:schemaRef ds:uri="http://schemas.microsoft.com/office/infopath/2007/PartnerControls"/>
    <ds:schemaRef ds:uri="f3f3deaa-1cd1-4972-954a-fc92bcb05415"/>
    <ds:schemaRef ds:uri="7b4e963e-523e-415c-a2ca-d700de04a9b7"/>
  </ds:schemaRefs>
</ds:datastoreItem>
</file>

<file path=customXml/itemProps2.xml><?xml version="1.0" encoding="utf-8"?>
<ds:datastoreItem xmlns:ds="http://schemas.openxmlformats.org/officeDocument/2006/customXml" ds:itemID="{F140D531-9580-4A6B-A82A-606ABA393A85}">
  <ds:schemaRefs>
    <ds:schemaRef ds:uri="http://schemas.microsoft.com/sharepoint/v3/contenttype/forms"/>
  </ds:schemaRefs>
</ds:datastoreItem>
</file>

<file path=customXml/itemProps3.xml><?xml version="1.0" encoding="utf-8"?>
<ds:datastoreItem xmlns:ds="http://schemas.openxmlformats.org/officeDocument/2006/customXml" ds:itemID="{20AE70BB-4030-41A6-A0F3-628ADC5B8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4e963e-523e-415c-a2ca-d700de04a9b7"/>
    <ds:schemaRef ds:uri="f3f3deaa-1cd1-4972-954a-fc92bcb054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Table</vt:lpstr>
      <vt:lpstr>Instructions</vt:lpstr>
      <vt:lpstr>Sample</vt:lpstr>
      <vt:lpstr>Instructions!Print_Area</vt:lpstr>
      <vt:lpstr>Sample!Print_Area</vt:lpstr>
    </vt:vector>
  </TitlesOfParts>
  <Company>LADOT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Railroad Preemption Worksheet</dc:title>
  <dc:subject/>
  <dc:creator>Sean Skehan</dc:creator>
  <cp:lastModifiedBy>Nicole Aquino</cp:lastModifiedBy>
  <cp:lastPrinted>2021-07-11T17:23:54Z</cp:lastPrinted>
  <dcterms:created xsi:type="dcterms:W3CDTF">2007-04-15T21:25:51Z</dcterms:created>
  <dcterms:modified xsi:type="dcterms:W3CDTF">2023-04-28T15:44:55Z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0x01010005D42A676BC1A048B81EC9533B3428F5</vt:lpwstr>
  </property>
  <property fmtid="{D5CDD505-2E9C-101B-9397-08002B2CF9AE}" pid="3" name="MediaServiceImageTags">
    <vt:lpwstr/>
  </property>
</Properties>
</file>