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showInkAnnotation="0" codeName="ThisWorkbook"/>
  <mc:AlternateContent xmlns:mc="http://schemas.openxmlformats.org/markup-compatibility/2006">
    <mc:Choice Requires="x15">
      <x15ac:absPath xmlns:x15ac="http://schemas.microsoft.com/office/spreadsheetml/2010/11/ac" url="https://oaconsulting.sharepoint.com/sites/Railtraffic/References/Preemption Calculation Forms/"/>
    </mc:Choice>
  </mc:AlternateContent>
  <xr:revisionPtr revIDLastSave="45" documentId="11_287B7FB11E4FAE966319866376AE5E2E00E3480F" xr6:coauthVersionLast="47" xr6:coauthVersionMax="47" xr10:uidLastSave="{89A4B429-B58C-4826-ACE0-A049C23AB99B}"/>
  <bookViews>
    <workbookView xWindow="-57720" yWindow="-3825" windowWidth="29040" windowHeight="15840" tabRatio="933" xr2:uid="{00000000-000D-0000-FFFF-FFFF00000000}"/>
  </bookViews>
  <sheets>
    <sheet name="PreemptionForm" sheetId="1" r:id="rId1"/>
    <sheet name="(OPTION) App-Con Veh Time" sheetId="10" r:id="rId2"/>
    <sheet name="(OPTION) Veh -Gate Int Time" sheetId="11" r:id="rId3"/>
    <sheet name="Grade Table&gt;400" sheetId="6" state="hidden" r:id="rId4"/>
    <sheet name="Gate-Interaction Table" sheetId="9" state="hidden" r:id="rId5"/>
    <sheet name="(OPTION) Time to Clear CSD" sheetId="20" r:id="rId6"/>
    <sheet name="(OPTION) Remove TCG" sheetId="27" r:id="rId7"/>
    <sheet name="Form Instructions" sheetId="18" r:id="rId8"/>
    <sheet name="Grade Table&lt;400" sheetId="5" state="hidden" r:id="rId9"/>
    <sheet name="AASHTO Designations" sheetId="17" state="hidden" r:id="rId10"/>
    <sheet name="Accel Table" sheetId="3" state="hidden" r:id="rId11"/>
    <sheet name="Calculation Summary" sheetId="16" r:id="rId12"/>
    <sheet name="Exhibit Data" sheetId="24" r:id="rId13"/>
    <sheet name="Preemption Form Exhibit" sheetId="26" r:id="rId14"/>
    <sheet name="Controller Cabinet Exhibit" sheetId="25" r:id="rId15"/>
    <sheet name="Other" sheetId="12" state="hidden" r:id="rId16"/>
  </sheets>
  <definedNames>
    <definedName name="Arrow">INDIRECT(Other!$I$3)</definedName>
    <definedName name="City">'Form Instructions'!$B$9:$D$9</definedName>
    <definedName name="completedby">'Form Instructions'!$B$14:$D$14</definedName>
    <definedName name="date">'Form Instructions'!$B$13:$D$13</definedName>
    <definedName name="dotno">'Form Instructions'!$B$12:$D$12</definedName>
    <definedName name="Form1" localSheetId="14">'Controller Cabinet Exhibit'!#REF!</definedName>
    <definedName name="Form1" localSheetId="12">'Exhibit Data'!#REF!</definedName>
    <definedName name="Form1" localSheetId="13">'Preemption Form Exhibit'!#REF!</definedName>
    <definedName name="Form1">PreemptionForm!$L$42</definedName>
    <definedName name="Form10" localSheetId="14">'Controller Cabinet Exhibit'!#REF!</definedName>
    <definedName name="Form10" localSheetId="12">'Exhibit Data'!#REF!</definedName>
    <definedName name="Form10" localSheetId="13">'Preemption Form Exhibit'!#REF!</definedName>
    <definedName name="Form10">PreemptionForm!$W$62</definedName>
    <definedName name="Form11" localSheetId="14">'Controller Cabinet Exhibit'!#REF!</definedName>
    <definedName name="Form11" localSheetId="12">'Exhibit Data'!#REF!</definedName>
    <definedName name="Form11" localSheetId="13">'Preemption Form Exhibit'!#REF!</definedName>
    <definedName name="Form11">PreemptionForm!$Q$63</definedName>
    <definedName name="Form12" localSheetId="14">'Controller Cabinet Exhibit'!#REF!</definedName>
    <definedName name="Form12" localSheetId="12">'Exhibit Data'!#REF!</definedName>
    <definedName name="Form12" localSheetId="13">'Preemption Form Exhibit'!#REF!</definedName>
    <definedName name="Form12">PreemptionForm!$Z$64</definedName>
    <definedName name="Form13" localSheetId="14">'Controller Cabinet Exhibit'!#REF!</definedName>
    <definedName name="Form13" localSheetId="12">'Exhibit Data'!#REF!</definedName>
    <definedName name="Form13" localSheetId="13">'Preemption Form Exhibit'!#REF!</definedName>
    <definedName name="Form13">PreemptionForm!$Q$65</definedName>
    <definedName name="Form15" localSheetId="14">'Controller Cabinet Exhibit'!#REF!</definedName>
    <definedName name="Form15" localSheetId="12">'Exhibit Data'!#REF!</definedName>
    <definedName name="Form15" localSheetId="13">'Preemption Form Exhibit'!#REF!</definedName>
    <definedName name="Form15">PreemptionForm!$I$70</definedName>
    <definedName name="Form16" localSheetId="14">'Controller Cabinet Exhibit'!#REF!</definedName>
    <definedName name="Form16" localSheetId="12">'Exhibit Data'!#REF!</definedName>
    <definedName name="Form16" localSheetId="13">'Preemption Form Exhibit'!#REF!</definedName>
    <definedName name="Form16">PreemptionForm!$L$72</definedName>
    <definedName name="Form17" localSheetId="14">'Controller Cabinet Exhibit'!#REF!</definedName>
    <definedName name="Form17" localSheetId="12">'Exhibit Data'!#REF!</definedName>
    <definedName name="Form17" localSheetId="13">'Preemption Form Exhibit'!#REF!</definedName>
    <definedName name="Form17">PreemptionForm!$M$74</definedName>
    <definedName name="Form18" localSheetId="14">'Controller Cabinet Exhibit'!#REF!</definedName>
    <definedName name="Form18" localSheetId="12">'Exhibit Data'!#REF!</definedName>
    <definedName name="Form18" localSheetId="13">'Preemption Form Exhibit'!#REF!</definedName>
    <definedName name="Form18">PreemptionForm!$K$80</definedName>
    <definedName name="Form19" localSheetId="14">'Controller Cabinet Exhibit'!#REF!</definedName>
    <definedName name="Form19" localSheetId="12">'Exhibit Data'!#REF!</definedName>
    <definedName name="Form19" localSheetId="13">'Preemption Form Exhibit'!#REF!</definedName>
    <definedName name="Form19">PreemptionForm!$I$82</definedName>
    <definedName name="Form2" localSheetId="14">'Controller Cabinet Exhibit'!#REF!</definedName>
    <definedName name="Form2" localSheetId="12">'Exhibit Data'!#REF!</definedName>
    <definedName name="Form2" localSheetId="13">'Preemption Form Exhibit'!#REF!</definedName>
    <definedName name="Form2">PreemptionForm!$L$44</definedName>
    <definedName name="Form20" localSheetId="14">'Controller Cabinet Exhibit'!#REF!</definedName>
    <definedName name="Form20" localSheetId="12">'Exhibit Data'!#REF!</definedName>
    <definedName name="Form20" localSheetId="13">'Preemption Form Exhibit'!#REF!</definedName>
    <definedName name="Form20">PreemptionForm!$I$84</definedName>
    <definedName name="Form21" localSheetId="14">'Controller Cabinet Exhibit'!#REF!</definedName>
    <definedName name="Form21" localSheetId="12">'Exhibit Data'!#REF!</definedName>
    <definedName name="Form21" localSheetId="13">'Preemption Form Exhibit'!#REF!</definedName>
    <definedName name="Form21">PreemptionForm!$I$86</definedName>
    <definedName name="Form22" localSheetId="14">'Controller Cabinet Exhibit'!#REF!</definedName>
    <definedName name="Form22" localSheetId="12">'Exhibit Data'!#REF!</definedName>
    <definedName name="Form22" localSheetId="13">'Preemption Form Exhibit'!#REF!</definedName>
    <definedName name="Form22">PreemptionForm!$M$88</definedName>
    <definedName name="Form23" localSheetId="14">'Controller Cabinet Exhibit'!#REF!</definedName>
    <definedName name="Form23" localSheetId="12">'Exhibit Data'!#REF!</definedName>
    <definedName name="Form23" localSheetId="13">'Preemption Form Exhibit'!#REF!</definedName>
    <definedName name="Form23">PreemptionForm!$K$91</definedName>
    <definedName name="Form24" localSheetId="14">'Controller Cabinet Exhibit'!#REF!</definedName>
    <definedName name="Form24" localSheetId="12">'Exhibit Data'!#REF!</definedName>
    <definedName name="Form24" localSheetId="13">'Preemption Form Exhibit'!#REF!</definedName>
    <definedName name="Form24">PreemptionForm!$I$93</definedName>
    <definedName name="Form25" localSheetId="14">'Controller Cabinet Exhibit'!#REF!</definedName>
    <definedName name="Form25" localSheetId="12">'Exhibit Data'!#REF!</definedName>
    <definedName name="Form25" localSheetId="13">'Preemption Form Exhibit'!#REF!</definedName>
    <definedName name="Form25">PreemptionForm!$V$95</definedName>
    <definedName name="Form26" localSheetId="14">'Controller Cabinet Exhibit'!#REF!</definedName>
    <definedName name="Form26" localSheetId="12">'Exhibit Data'!#REF!</definedName>
    <definedName name="Form26" localSheetId="13">'Preemption Form Exhibit'!#REF!</definedName>
    <definedName name="Form26">PreemptionForm!$AA$97</definedName>
    <definedName name="Form27" localSheetId="14">'Controller Cabinet Exhibit'!#REF!</definedName>
    <definedName name="Form27" localSheetId="12">'Exhibit Data'!#REF!</definedName>
    <definedName name="Form27" localSheetId="13">'Preemption Form Exhibit'!#REF!</definedName>
    <definedName name="Form27">PreemptionForm!$AA$99</definedName>
    <definedName name="Form28" localSheetId="14">'Controller Cabinet Exhibit'!#REF!</definedName>
    <definedName name="Form28" localSheetId="12">'Exhibit Data'!#REF!</definedName>
    <definedName name="Form28" localSheetId="13">'Preemption Form Exhibit'!#REF!</definedName>
    <definedName name="Form28">PreemptionForm!$M$101</definedName>
    <definedName name="Form29" localSheetId="14">'Controller Cabinet Exhibit'!#REF!</definedName>
    <definedName name="Form29" localSheetId="12">'Exhibit Data'!#REF!</definedName>
    <definedName name="Form29" localSheetId="13">'Preemption Form Exhibit'!#REF!</definedName>
    <definedName name="Form29">PreemptionForm!$N$103</definedName>
    <definedName name="Form3" localSheetId="14">'Controller Cabinet Exhibit'!#REF!</definedName>
    <definedName name="Form3" localSheetId="12">'Exhibit Data'!#REF!</definedName>
    <definedName name="Form3" localSheetId="13">'Preemption Form Exhibit'!#REF!</definedName>
    <definedName name="Form3">PreemptionForm!$U$46</definedName>
    <definedName name="Form30" localSheetId="14">'Controller Cabinet Exhibit'!#REF!</definedName>
    <definedName name="Form30" localSheetId="12">'Exhibit Data'!#REF!</definedName>
    <definedName name="Form30" localSheetId="13">'Preemption Form Exhibit'!#REF!</definedName>
    <definedName name="Form30">PreemptionForm!$M$107</definedName>
    <definedName name="Form31" localSheetId="14">'Controller Cabinet Exhibit'!#REF!</definedName>
    <definedName name="Form31" localSheetId="12">'Exhibit Data'!#REF!</definedName>
    <definedName name="Form31" localSheetId="13">'Preemption Form Exhibit'!#REF!</definedName>
    <definedName name="Form31">PreemptionForm!$J$109</definedName>
    <definedName name="Form32" localSheetId="14">'Controller Cabinet Exhibit'!#REF!</definedName>
    <definedName name="Form32" localSheetId="12">'Exhibit Data'!#REF!</definedName>
    <definedName name="Form32" localSheetId="13">'Preemption Form Exhibit'!#REF!</definedName>
    <definedName name="Form32">PreemptionForm!$U$111</definedName>
    <definedName name="Form33" localSheetId="14">'Controller Cabinet Exhibit'!#REF!</definedName>
    <definedName name="Form33" localSheetId="12">'Exhibit Data'!#REF!</definedName>
    <definedName name="Form33" localSheetId="13">'Preemption Form Exhibit'!#REF!</definedName>
    <definedName name="Form33">PreemptionForm!$I$113</definedName>
    <definedName name="Form34" localSheetId="14">'Controller Cabinet Exhibit'!#REF!</definedName>
    <definedName name="Form34" localSheetId="12">'Exhibit Data'!#REF!</definedName>
    <definedName name="Form34" localSheetId="13">'Preemption Form Exhibit'!#REF!</definedName>
    <definedName name="Form34">PreemptionForm!$N$115</definedName>
    <definedName name="Form35" localSheetId="14">'Controller Cabinet Exhibit'!#REF!</definedName>
    <definedName name="Form35" localSheetId="12">'Exhibit Data'!#REF!</definedName>
    <definedName name="Form35" localSheetId="13">'Preemption Form Exhibit'!#REF!</definedName>
    <definedName name="Form35">PreemptionForm!$I$123</definedName>
    <definedName name="Form36" localSheetId="14">'Controller Cabinet Exhibit'!#REF!</definedName>
    <definedName name="Form36" localSheetId="12">'Exhibit Data'!#REF!</definedName>
    <definedName name="Form36" localSheetId="13">'Preemption Form Exhibit'!#REF!</definedName>
    <definedName name="Form36">PreemptionForm!$I$125</definedName>
    <definedName name="Form37" localSheetId="14">'Controller Cabinet Exhibit'!#REF!</definedName>
    <definedName name="Form37" localSheetId="12">'Exhibit Data'!#REF!</definedName>
    <definedName name="Form37" localSheetId="13">'Preemption Form Exhibit'!#REF!</definedName>
    <definedName name="Form37">PreemptionForm!$I$127</definedName>
    <definedName name="Form38" localSheetId="14">'Controller Cabinet Exhibit'!#REF!</definedName>
    <definedName name="Form38" localSheetId="12">'Exhibit Data'!#REF!</definedName>
    <definedName name="Form38" localSheetId="13">'Preemption Form Exhibit'!#REF!</definedName>
    <definedName name="Form38">PreemptionForm!$AB$129</definedName>
    <definedName name="Form39" localSheetId="14">'Controller Cabinet Exhibit'!#REF!</definedName>
    <definedName name="Form39" localSheetId="12">'Exhibit Data'!#REF!</definedName>
    <definedName name="Form39" localSheetId="13">'Preemption Form Exhibit'!#REF!</definedName>
    <definedName name="Form39">PreemptionForm!$M$131</definedName>
    <definedName name="Form4" localSheetId="14">'Controller Cabinet Exhibit'!#REF!</definedName>
    <definedName name="Form4" localSheetId="12">'Exhibit Data'!#REF!</definedName>
    <definedName name="Form4" localSheetId="13">'Preemption Form Exhibit'!#REF!</definedName>
    <definedName name="Form4">PreemptionForm!$R$48</definedName>
    <definedName name="Form40" localSheetId="14">'Controller Cabinet Exhibit'!#REF!</definedName>
    <definedName name="Form40" localSheetId="12">'Exhibit Data'!#REF!</definedName>
    <definedName name="Form40" localSheetId="13">'Preemption Form Exhibit'!#REF!</definedName>
    <definedName name="Form40">PreemptionForm!$I$133</definedName>
    <definedName name="Form41" localSheetId="14">'Controller Cabinet Exhibit'!#REF!</definedName>
    <definedName name="Form41" localSheetId="12">'Exhibit Data'!#REF!</definedName>
    <definedName name="Form41" localSheetId="13">'Preemption Form Exhibit'!#REF!</definedName>
    <definedName name="Form41">PreemptionForm!$M$135</definedName>
    <definedName name="Form42" localSheetId="14">'Controller Cabinet Exhibit'!#REF!</definedName>
    <definedName name="Form42" localSheetId="12">'Exhibit Data'!#REF!</definedName>
    <definedName name="Form42" localSheetId="13">'Preemption Form Exhibit'!#REF!</definedName>
    <definedName name="Form42">PreemptionForm!$U$140</definedName>
    <definedName name="Form43" localSheetId="14">'Controller Cabinet Exhibit'!#REF!</definedName>
    <definedName name="Form43" localSheetId="12">'Exhibit Data'!#REF!</definedName>
    <definedName name="Form43" localSheetId="13">'Preemption Form Exhibit'!#REF!</definedName>
    <definedName name="Form43">PreemptionForm!$I$143</definedName>
    <definedName name="Form44" localSheetId="14">'Controller Cabinet Exhibit'!#REF!</definedName>
    <definedName name="Form44" localSheetId="12">'Exhibit Data'!#REF!</definedName>
    <definedName name="Form44" localSheetId="13">'Preemption Form Exhibit'!#REF!</definedName>
    <definedName name="Form44">PreemptionForm!$M$145</definedName>
    <definedName name="Form45" localSheetId="6">'(OPTION) Remove TCG'!$G$18</definedName>
    <definedName name="Form45">'(OPTION) App-Con Veh Time'!$G$18</definedName>
    <definedName name="Form46" localSheetId="6">'(OPTION) Remove TCG'!$H$20</definedName>
    <definedName name="Form46">'(OPTION) App-Con Veh Time'!$H$20</definedName>
    <definedName name="Form47" localSheetId="6">'(OPTION) Remove TCG'!$R$22</definedName>
    <definedName name="Form47">'(OPTION) App-Con Veh Time'!$R$22</definedName>
    <definedName name="Form48" localSheetId="6">'(OPTION) Remove TCG'!$G$25</definedName>
    <definedName name="Form48">'(OPTION) App-Con Veh Time'!$G$25</definedName>
    <definedName name="Form49" localSheetId="6">'(OPTION) Remove TCG'!$H$27</definedName>
    <definedName name="Form49">'(OPTION) App-Con Veh Time'!$H$27</definedName>
    <definedName name="Form5" localSheetId="14">'Controller Cabinet Exhibit'!#REF!</definedName>
    <definedName name="Form5" localSheetId="12">'Exhibit Data'!#REF!</definedName>
    <definedName name="Form5" localSheetId="13">'Preemption Form Exhibit'!#REF!</definedName>
    <definedName name="Form5">PreemptionForm!$AA$50</definedName>
    <definedName name="Form50" localSheetId="6">'(OPTION) Remove TCG'!$R$29</definedName>
    <definedName name="Form50">'(OPTION) App-Con Veh Time'!$R$29</definedName>
    <definedName name="Form51" localSheetId="6">'(OPTION) Remove TCG'!$R$32</definedName>
    <definedName name="Form51">'(OPTION) App-Con Veh Time'!$R$32</definedName>
    <definedName name="Form53">'(OPTION) Veh -Gate Int Time'!$H$19:$AB$19</definedName>
    <definedName name="Form54">'(OPTION) Veh -Gate Int Time'!$R$21:$AB$21</definedName>
    <definedName name="Form55">'(OPTION) Veh -Gate Int Time'!$K$23:$AB$23</definedName>
    <definedName name="Form56">'(OPTION) Veh -Gate Int Time'!$H$25:$AB$25</definedName>
    <definedName name="Form57">'(OPTION) Veh -Gate Int Time'!$H$27:$AB$27</definedName>
    <definedName name="Form58">'(OPTION) Veh -Gate Int Time'!$L$29:$AB$29</definedName>
    <definedName name="Form59">'(OPTION) Veh -Gate Int Time'!$R$31:$AB$31</definedName>
    <definedName name="Form6" localSheetId="14">'Controller Cabinet Exhibit'!#REF!</definedName>
    <definedName name="Form6" localSheetId="12">'Exhibit Data'!#REF!</definedName>
    <definedName name="Form6" localSheetId="13">'Preemption Form Exhibit'!#REF!</definedName>
    <definedName name="Form6">PreemptionForm!$AA$52</definedName>
    <definedName name="Form60">'(OPTION) Veh -Gate Int Time'!$J$33:$AB$33</definedName>
    <definedName name="Form61">'(OPTION) Veh -Gate Int Time'!$K$35:$AB$35</definedName>
    <definedName name="Form62">'(OPTION) Veh -Gate Int Time'!$L$37:$AB$37</definedName>
    <definedName name="Form63">'(OPTION) Veh -Gate Int Time'!$R$39</definedName>
    <definedName name="Form65">'(OPTION) Time to Clear CSD'!$I$19</definedName>
    <definedName name="Form66">'(OPTION) Time to Clear CSD'!$R$21</definedName>
    <definedName name="Form67">'(OPTION) Time to Clear CSD'!$H$23:$AB$23</definedName>
    <definedName name="Form68">'(OPTION) Time to Clear CSD'!$L$25:$AB$25</definedName>
    <definedName name="Form7" localSheetId="14">'Controller Cabinet Exhibit'!#REF!</definedName>
    <definedName name="Form7" localSheetId="12">'Exhibit Data'!#REF!</definedName>
    <definedName name="Form7" localSheetId="13">'Preemption Form Exhibit'!#REF!</definedName>
    <definedName name="Form7">PreemptionForm!$AA$54</definedName>
    <definedName name="Form70">'(OPTION) Remove TCG'!$S$20</definedName>
    <definedName name="Form8" localSheetId="14">'Controller Cabinet Exhibit'!#REF!</definedName>
    <definedName name="Form8" localSheetId="12">'Exhibit Data'!#REF!</definedName>
    <definedName name="Form8" localSheetId="13">'Preemption Form Exhibit'!#REF!</definedName>
    <definedName name="Form8">PreemptionForm!$L$60</definedName>
    <definedName name="Form9" localSheetId="14">'Controller Cabinet Exhibit'!#REF!</definedName>
    <definedName name="Form9" localSheetId="12">'Exhibit Data'!#REF!</definedName>
    <definedName name="Form9" localSheetId="13">'Preemption Form Exhibit'!#REF!</definedName>
    <definedName name="Form9">PreemptionForm!$W$61</definedName>
    <definedName name="hwyauthcntct">'Form Instructions'!$B$15:$D$15</definedName>
    <definedName name="hwyauthority">'Form Instructions'!$B$11:$D$11</definedName>
    <definedName name="Line1">'Form Instructions'!$B$26:$D$26</definedName>
    <definedName name="Line10">'Form Instructions'!$B$43:$D$43</definedName>
    <definedName name="Line11">'Form Instructions'!$B$44:$D$44</definedName>
    <definedName name="Line12">'Form Instructions'!$B$49:$D$49</definedName>
    <definedName name="Line13">'Form Instructions'!$B$50:$D$50</definedName>
    <definedName name="Line15">'Form Instructions'!$B$103:$D$103</definedName>
    <definedName name="Line16">'Form Instructions'!$B$104:$D$104</definedName>
    <definedName name="Line17">'Form Instructions'!$B$105:$D$105</definedName>
    <definedName name="Line18">'Form Instructions'!$B$111:$D$111</definedName>
    <definedName name="Line19">'Form Instructions'!$B$112:$D$112</definedName>
    <definedName name="Line2">'Form Instructions'!$B$27:$D$27</definedName>
    <definedName name="Line20">'Form Instructions'!$B$113:$D$113</definedName>
    <definedName name="Line21">'Form Instructions'!$B$114:$D$114</definedName>
    <definedName name="Line22">'Form Instructions'!$B$115:$D$115</definedName>
    <definedName name="Line23">'Form Instructions'!$B$116:$D$116</definedName>
    <definedName name="Line24">'Form Instructions'!$B$117:$D$117</definedName>
    <definedName name="Line25">'Form Instructions'!$B$118:$D$118</definedName>
    <definedName name="Line26">'Form Instructions'!$B$119:$D$119</definedName>
    <definedName name="Line27">'Form Instructions'!$B$124:$D$124</definedName>
    <definedName name="Line28">'Form Instructions'!$B$125:$D$125</definedName>
    <definedName name="Line29">'Form Instructions'!$B$126:$D$126</definedName>
    <definedName name="Line3">'Form Instructions'!$B$28:$D$28</definedName>
    <definedName name="Line30">'Form Instructions'!$B$131:$D$131</definedName>
    <definedName name="Line31">'Form Instructions'!$B$132:$D$132</definedName>
    <definedName name="Line32">'Form Instructions'!$B$133:$D$133</definedName>
    <definedName name="Line33">'Form Instructions'!$B$138:$D$138</definedName>
    <definedName name="Line34">'Form Instructions'!$B$139:$D$139</definedName>
    <definedName name="Line35">'Form Instructions'!$B$145:$D$145</definedName>
    <definedName name="Line36">'Form Instructions'!$B$146:$D$146</definedName>
    <definedName name="Line37">'Form Instructions'!$B$147:$D$147</definedName>
    <definedName name="Line38">'Form Instructions'!$B$148:$D$148</definedName>
    <definedName name="Line39">'Form Instructions'!$B$153:$D$153</definedName>
    <definedName name="Line4">'Form Instructions'!$B$29:$D$29</definedName>
    <definedName name="Line40">'Form Instructions'!$B$154:$D$154</definedName>
    <definedName name="Line41">'Form Instructions'!$B$155:$D$155</definedName>
    <definedName name="Line42">'Form Instructions'!$B$247:$D$248</definedName>
    <definedName name="Line43">'Form Instructions'!$B$250:$D$250</definedName>
    <definedName name="Line44">'Form Instructions'!$B$251:$D$251</definedName>
    <definedName name="Line47">'Form Instructions'!$B$163:$D$174</definedName>
    <definedName name="Line5">'Form Instructions'!$B$30:$D$30</definedName>
    <definedName name="Line50">'Form Instructions'!$B$181:$D$193</definedName>
    <definedName name="Line51">'Form Instructions'!$B$194:$D$194</definedName>
    <definedName name="Line53">'Form Instructions'!$B$202:$D$202</definedName>
    <definedName name="Line54">'Form Instructions'!$B$203:$D$203</definedName>
    <definedName name="Line55">'Form Instructions'!$B$204:$D$204</definedName>
    <definedName name="Line56">'Form Instructions'!$B$205:$D$205</definedName>
    <definedName name="Line57">'Form Instructions'!$B$211:$D$211</definedName>
    <definedName name="Line58">'Form Instructions'!$B$212:$D$212</definedName>
    <definedName name="Line59">'Form Instructions'!$B$213:$D$213</definedName>
    <definedName name="Line6">'Form Instructions'!$B$31:$D$31</definedName>
    <definedName name="Line60">'Form Instructions'!$B$214:$D$214</definedName>
    <definedName name="Line61">'Form Instructions'!$B$215:$D$215</definedName>
    <definedName name="Line62">'Form Instructions'!$B$216:$D$216</definedName>
    <definedName name="Line63">'Form Instructions'!$B$222:$D$222</definedName>
    <definedName name="Line65">'Form Instructions'!$B$236:$D$236</definedName>
    <definedName name="Line66">'Form Instructions'!$B$237:$D$237</definedName>
    <definedName name="Line67">'Form Instructions'!$B$238:$D$238</definedName>
    <definedName name="Line68">'Form Instructions'!$B$239:$D$239</definedName>
    <definedName name="Line7">'Form Instructions'!$B$32:$D$32</definedName>
    <definedName name="Line70">'Form Instructions'!$B$247:$D$249</definedName>
    <definedName name="Line8">'Form Instructions'!$B$41:$D$41</definedName>
    <definedName name="Line9">'Form Instructions'!$B$42:$D$42</definedName>
    <definedName name="notracks">'Form Instructions'!$B$17:$D$17</definedName>
    <definedName name="_xlnm.Print_Area" localSheetId="1">'(OPTION) App-Con Veh Time'!$A$1:$AB$34</definedName>
    <definedName name="_xlnm.Print_Area" localSheetId="6">'(OPTION) Remove TCG'!$A$1:$AB$34</definedName>
    <definedName name="_xlnm.Print_Area" localSheetId="5">'(OPTION) Time to Clear CSD'!$A$1:$AB$33</definedName>
    <definedName name="_xlnm.Print_Area" localSheetId="2">'(OPTION) Veh -Gate Int Time'!$A$1:$AB$42</definedName>
    <definedName name="_xlnm.Print_Area" localSheetId="9">'AASHTO Designations'!$A$1:$F$22</definedName>
    <definedName name="_xlnm.Print_Area" localSheetId="10">'Accel Table'!$A$1:$G$46</definedName>
    <definedName name="_xlnm.Print_Area" localSheetId="11">'Calculation Summary'!$A$1:$D$290</definedName>
    <definedName name="_xlnm.Print_Area" localSheetId="14">'Controller Cabinet Exhibit'!$A$1:$AR$39</definedName>
    <definedName name="_xlnm.Print_Area" localSheetId="12">'Exhibit Data'!$A$1:$AI$39</definedName>
    <definedName name="_xlnm.Print_Area" localSheetId="7">'Form Instructions'!$A$1:$F$253</definedName>
    <definedName name="_xlnm.Print_Area" localSheetId="4">'Gate-Interaction Table'!$A$1:$G$22</definedName>
    <definedName name="_xlnm.Print_Area" localSheetId="8">'Grade Table&lt;400'!$A$1:$H$69</definedName>
    <definedName name="_xlnm.Print_Area" localSheetId="3">'Grade Table&gt;400'!$A$1:$H$22</definedName>
    <definedName name="_xlnm.Print_Area" localSheetId="13">'Preemption Form Exhibit'!$A$1:$AR$39</definedName>
    <definedName name="_xlnm.Print_Area" localSheetId="0">PreemptionForm!$A$1:$AD$184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2" i="26" l="1"/>
  <c r="T2" i="26"/>
  <c r="AD2" i="26"/>
  <c r="G4" i="26"/>
  <c r="O4" i="26" l="1"/>
  <c r="AD2" i="25"/>
  <c r="V2" i="12" l="1"/>
  <c r="AM4" i="26" s="1"/>
  <c r="X19" i="12" l="1"/>
  <c r="W19" i="12"/>
  <c r="V19" i="12"/>
  <c r="X18" i="12"/>
  <c r="W18" i="12"/>
  <c r="X17" i="12"/>
  <c r="W17" i="12"/>
  <c r="V17" i="12"/>
  <c r="U17" i="12"/>
  <c r="X16" i="12"/>
  <c r="W16" i="12"/>
  <c r="V16" i="12"/>
  <c r="U16" i="12"/>
  <c r="X15" i="12"/>
  <c r="W15" i="12"/>
  <c r="V15" i="12"/>
  <c r="U15" i="12"/>
  <c r="X14" i="12"/>
  <c r="W14" i="12"/>
  <c r="V14" i="12"/>
  <c r="U14" i="12"/>
  <c r="P14" i="12"/>
  <c r="O14" i="12"/>
  <c r="N14" i="12"/>
  <c r="X13" i="12"/>
  <c r="W13" i="12"/>
  <c r="V13" i="12"/>
  <c r="U13" i="12"/>
  <c r="X12" i="12"/>
  <c r="W12" i="12"/>
  <c r="V12" i="12"/>
  <c r="X11" i="12"/>
  <c r="W11" i="12"/>
  <c r="V11" i="12"/>
  <c r="X10" i="12"/>
  <c r="W10" i="12"/>
  <c r="V10" i="12"/>
  <c r="P10" i="12"/>
  <c r="O10" i="12"/>
  <c r="X9" i="12"/>
  <c r="W9" i="12"/>
  <c r="V9" i="12"/>
  <c r="P9" i="12"/>
  <c r="O9" i="12"/>
  <c r="N9" i="12"/>
  <c r="X8" i="12"/>
  <c r="W8" i="12"/>
  <c r="V8" i="12"/>
  <c r="P8" i="12"/>
  <c r="O8" i="12"/>
  <c r="N8" i="12"/>
  <c r="M8" i="12"/>
  <c r="K8" i="12"/>
  <c r="X7" i="12"/>
  <c r="W7" i="12"/>
  <c r="V7" i="12"/>
  <c r="U7" i="12"/>
  <c r="P7" i="12"/>
  <c r="O7" i="12"/>
  <c r="K7" i="12"/>
  <c r="X6" i="12"/>
  <c r="W6" i="12"/>
  <c r="V6" i="12"/>
  <c r="U6" i="12"/>
  <c r="P6" i="12"/>
  <c r="O6" i="12"/>
  <c r="N6" i="12"/>
  <c r="M6" i="12"/>
  <c r="X5" i="12"/>
  <c r="W5" i="12"/>
  <c r="V5" i="12"/>
  <c r="U5" i="12"/>
  <c r="P5" i="12"/>
  <c r="O5" i="12"/>
  <c r="X4" i="12"/>
  <c r="W4" i="12"/>
  <c r="V4" i="12"/>
  <c r="P4" i="12"/>
  <c r="O4" i="12"/>
  <c r="N4" i="12"/>
  <c r="K4" i="12"/>
  <c r="X3" i="12"/>
  <c r="W3" i="12"/>
  <c r="V3" i="12"/>
  <c r="AA19" i="12" s="1"/>
  <c r="P3" i="12"/>
  <c r="O3" i="12"/>
  <c r="N3" i="12"/>
  <c r="M3" i="12"/>
  <c r="I3" i="12"/>
  <c r="P2" i="12"/>
  <c r="R5" i="12" s="1"/>
  <c r="O2" i="12"/>
  <c r="S6" i="12" s="1"/>
  <c r="N2" i="12"/>
  <c r="S3" i="12" s="1"/>
  <c r="M2" i="12"/>
  <c r="K2" i="12"/>
  <c r="V1" i="12"/>
  <c r="AB4" i="26" s="1"/>
  <c r="N1" i="12"/>
  <c r="AN2" i="26" s="1"/>
  <c r="AM4" i="25"/>
  <c r="O4" i="25"/>
  <c r="G4" i="25"/>
  <c r="T2" i="25"/>
  <c r="F2" i="25"/>
  <c r="AB38" i="24"/>
  <c r="X38" i="24"/>
  <c r="T38" i="24"/>
  <c r="P38" i="24"/>
  <c r="L38" i="24"/>
  <c r="V18" i="12" s="1"/>
  <c r="AB14" i="24"/>
  <c r="AB17" i="24" s="1"/>
  <c r="AB12" i="24"/>
  <c r="X12" i="24"/>
  <c r="X14" i="24" s="1"/>
  <c r="X17" i="24" s="1"/>
  <c r="T12" i="24"/>
  <c r="T14" i="24" s="1"/>
  <c r="T17" i="24" s="1"/>
  <c r="P12" i="24"/>
  <c r="P14" i="24" s="1"/>
  <c r="P17" i="24" s="1"/>
  <c r="L12" i="24"/>
  <c r="N5" i="12" s="1"/>
  <c r="O4" i="24"/>
  <c r="G4" i="24"/>
  <c r="AC2" i="24"/>
  <c r="T2" i="24"/>
  <c r="F2" i="24"/>
  <c r="C273" i="16"/>
  <c r="C213" i="16"/>
  <c r="C215" i="16" s="1"/>
  <c r="C212" i="16"/>
  <c r="C211" i="16"/>
  <c r="C210" i="16"/>
  <c r="C205" i="16"/>
  <c r="C202" i="16"/>
  <c r="C180" i="16"/>
  <c r="C191" i="16" s="1"/>
  <c r="C179" i="16"/>
  <c r="C190" i="16" s="1"/>
  <c r="C178" i="16"/>
  <c r="C189" i="16" s="1"/>
  <c r="C157" i="16"/>
  <c r="C159" i="16" s="1"/>
  <c r="C153" i="16"/>
  <c r="C155" i="16" s="1"/>
  <c r="C151" i="16"/>
  <c r="C138" i="16"/>
  <c r="C140" i="16" s="1"/>
  <c r="C134" i="16"/>
  <c r="C136" i="16" s="1"/>
  <c r="C132" i="16"/>
  <c r="C112" i="16"/>
  <c r="C88" i="16"/>
  <c r="C85" i="16"/>
  <c r="C82" i="16"/>
  <c r="C67" i="16"/>
  <c r="C63" i="16"/>
  <c r="D15" i="16"/>
  <c r="C9" i="16"/>
  <c r="M13" i="27"/>
  <c r="B13" i="27"/>
  <c r="M11" i="27"/>
  <c r="B11" i="27"/>
  <c r="M9" i="27"/>
  <c r="B9" i="27"/>
  <c r="M7" i="27"/>
  <c r="B7" i="27"/>
  <c r="M5" i="27"/>
  <c r="B5" i="27"/>
  <c r="M3" i="27"/>
  <c r="B3" i="27"/>
  <c r="E23" i="20"/>
  <c r="C283" i="16" s="1"/>
  <c r="E21" i="20"/>
  <c r="C280" i="16" s="1"/>
  <c r="E19" i="20"/>
  <c r="M13" i="20"/>
  <c r="B13" i="20"/>
  <c r="M11" i="20"/>
  <c r="B11" i="20"/>
  <c r="M9" i="20"/>
  <c r="B9" i="20"/>
  <c r="M7" i="20"/>
  <c r="B7" i="20"/>
  <c r="M5" i="20"/>
  <c r="B5" i="20"/>
  <c r="M3" i="20"/>
  <c r="B3" i="20"/>
  <c r="E31" i="11"/>
  <c r="E27" i="11"/>
  <c r="E33" i="11" s="1"/>
  <c r="E25" i="11"/>
  <c r="M13" i="11"/>
  <c r="B13" i="11"/>
  <c r="M11" i="11"/>
  <c r="B11" i="11"/>
  <c r="M9" i="11"/>
  <c r="B9" i="11"/>
  <c r="M7" i="11"/>
  <c r="B7" i="11"/>
  <c r="M5" i="11"/>
  <c r="B5" i="11"/>
  <c r="M3" i="11"/>
  <c r="B3" i="11"/>
  <c r="E27" i="10"/>
  <c r="E20" i="10"/>
  <c r="C142" i="16" s="1"/>
  <c r="C144" i="16" s="1"/>
  <c r="M13" i="10"/>
  <c r="B13" i="10"/>
  <c r="M11" i="10"/>
  <c r="B11" i="10"/>
  <c r="M9" i="10"/>
  <c r="B9" i="10"/>
  <c r="M7" i="10"/>
  <c r="B7" i="10"/>
  <c r="M5" i="10"/>
  <c r="B5" i="10"/>
  <c r="M3" i="10"/>
  <c r="B3" i="10"/>
  <c r="D179" i="1"/>
  <c r="E175" i="1"/>
  <c r="G164" i="1"/>
  <c r="G163" i="1"/>
  <c r="I129" i="1"/>
  <c r="F129" i="1"/>
  <c r="G165" i="1" s="1"/>
  <c r="F101" i="1"/>
  <c r="F88" i="1"/>
  <c r="E171" i="1" s="1"/>
  <c r="F74" i="1"/>
  <c r="H62" i="1"/>
  <c r="F62" i="1"/>
  <c r="E62" i="1"/>
  <c r="D62" i="1"/>
  <c r="H61" i="1"/>
  <c r="E46" i="1" s="1"/>
  <c r="F61" i="1"/>
  <c r="C272" i="16" s="1"/>
  <c r="C274" i="16" s="1"/>
  <c r="E61" i="1"/>
  <c r="C269" i="16" s="1"/>
  <c r="D61" i="1"/>
  <c r="C56" i="16" s="1"/>
  <c r="E48" i="1"/>
  <c r="K3" i="12" s="1"/>
  <c r="E25" i="20" l="1"/>
  <c r="C286" i="16" s="1"/>
  <c r="Y3" i="12"/>
  <c r="Q7" i="12"/>
  <c r="S13" i="12"/>
  <c r="L14" i="24"/>
  <c r="C62" i="16"/>
  <c r="C64" i="16" s="1"/>
  <c r="AB4" i="25"/>
  <c r="S5" i="12"/>
  <c r="Z8" i="12"/>
  <c r="AA11" i="12"/>
  <c r="Z13" i="12"/>
  <c r="Y7" i="12"/>
  <c r="AA8" i="12"/>
  <c r="R10" i="12"/>
  <c r="R12" i="12"/>
  <c r="AA13" i="12"/>
  <c r="Y17" i="12"/>
  <c r="Z17" i="12"/>
  <c r="Z7" i="12"/>
  <c r="S10" i="12"/>
  <c r="S12" i="12"/>
  <c r="C66" i="16"/>
  <c r="C68" i="16" s="1"/>
  <c r="Q1" i="12"/>
  <c r="R4" i="12"/>
  <c r="Y6" i="12"/>
  <c r="AA7" i="12"/>
  <c r="Y15" i="12"/>
  <c r="AA17" i="12"/>
  <c r="Q4" i="12"/>
  <c r="R1" i="12"/>
  <c r="Q3" i="12"/>
  <c r="S4" i="12"/>
  <c r="Z15" i="12"/>
  <c r="Z6" i="12"/>
  <c r="C70" i="16"/>
  <c r="C72" i="16" s="1"/>
  <c r="S1" i="12"/>
  <c r="R3" i="12"/>
  <c r="Y5" i="12"/>
  <c r="AA6" i="12"/>
  <c r="Q14" i="12"/>
  <c r="AA15" i="12"/>
  <c r="Z5" i="12"/>
  <c r="R9" i="12"/>
  <c r="Y10" i="12"/>
  <c r="Y12" i="12"/>
  <c r="R14" i="12"/>
  <c r="AA5" i="12"/>
  <c r="S9" i="12"/>
  <c r="Z10" i="12"/>
  <c r="Z12" i="12"/>
  <c r="S14" i="12"/>
  <c r="Y18" i="12"/>
  <c r="Y4" i="12"/>
  <c r="AA10" i="12"/>
  <c r="AA12" i="12"/>
  <c r="Z18" i="12"/>
  <c r="Z4" i="12"/>
  <c r="Q8" i="12"/>
  <c r="R11" i="12"/>
  <c r="R13" i="12"/>
  <c r="AA18" i="12"/>
  <c r="AA4" i="12"/>
  <c r="R8" i="12"/>
  <c r="Y16" i="12"/>
  <c r="Z3" i="12"/>
  <c r="R7" i="12"/>
  <c r="S8" i="12"/>
  <c r="Y9" i="12"/>
  <c r="Z16" i="12"/>
  <c r="S11" i="12"/>
  <c r="Z9" i="12"/>
  <c r="C268" i="16"/>
  <c r="C270" i="16" s="1"/>
  <c r="AN2" i="25"/>
  <c r="R2" i="12"/>
  <c r="R6" i="12"/>
  <c r="AA9" i="12"/>
  <c r="Z14" i="12"/>
  <c r="Y19" i="12"/>
  <c r="Z19" i="12"/>
  <c r="C266" i="16"/>
  <c r="Q2" i="12"/>
  <c r="AA3" i="12"/>
  <c r="S7" i="12"/>
  <c r="Y14" i="12"/>
  <c r="AA16" i="12"/>
  <c r="S2" i="12"/>
  <c r="M4" i="12"/>
  <c r="Q5" i="12"/>
  <c r="Y11" i="12"/>
  <c r="AA14" i="12"/>
  <c r="Y8" i="12"/>
  <c r="Z11" i="12"/>
  <c r="Y13" i="12"/>
  <c r="E35" i="11"/>
  <c r="C224" i="16"/>
  <c r="C221" i="16"/>
  <c r="E170" i="1"/>
  <c r="E172" i="1"/>
  <c r="E167" i="1"/>
  <c r="E168" i="1"/>
  <c r="C91" i="16"/>
  <c r="F103" i="1"/>
  <c r="F107" i="1" s="1"/>
  <c r="E166" i="1"/>
  <c r="C12" i="16"/>
  <c r="E50" i="1"/>
  <c r="C32" i="16" s="1"/>
  <c r="C233" i="16"/>
  <c r="K5" i="12"/>
  <c r="C181" i="16"/>
  <c r="C192" i="16" s="1"/>
  <c r="C194" i="16" s="1"/>
  <c r="E21" i="11" s="1"/>
  <c r="C277" i="16"/>
  <c r="C6" i="16"/>
  <c r="C71" i="16"/>
  <c r="C276" i="16"/>
  <c r="C278" i="16" s="1"/>
  <c r="C161" i="16"/>
  <c r="C163" i="16" s="1"/>
  <c r="E29" i="10" s="1"/>
  <c r="E22" i="10"/>
  <c r="F131" i="1"/>
  <c r="C115" i="16"/>
  <c r="D63" i="1"/>
  <c r="E63" i="1"/>
  <c r="E19" i="11"/>
  <c r="F63" i="1"/>
  <c r="H63" i="1"/>
  <c r="C26" i="16"/>
  <c r="C241" i="16" l="1"/>
  <c r="C250" i="16" s="1"/>
  <c r="N7" i="12"/>
  <c r="Q6" i="12" s="1"/>
  <c r="L17" i="24"/>
  <c r="N10" i="12" s="1"/>
  <c r="Q9" i="12" s="1"/>
  <c r="U18" i="12"/>
  <c r="C96" i="16"/>
  <c r="C33" i="16"/>
  <c r="C42" i="16" s="1"/>
  <c r="F64" i="1" s="1"/>
  <c r="C78" i="16" s="1"/>
  <c r="C240" i="16"/>
  <c r="C249" i="16" s="1"/>
  <c r="K6" i="12"/>
  <c r="C239" i="16"/>
  <c r="C248" i="16" s="1"/>
  <c r="C238" i="16"/>
  <c r="C247" i="16" s="1"/>
  <c r="C34" i="16"/>
  <c r="C43" i="16" s="1"/>
  <c r="H64" i="1" s="1"/>
  <c r="C79" i="16" s="1"/>
  <c r="C31" i="16"/>
  <c r="E32" i="10"/>
  <c r="C166" i="16" s="1"/>
  <c r="C121" i="16"/>
  <c r="M5" i="12"/>
  <c r="F135" i="1"/>
  <c r="M7" i="12" s="1"/>
  <c r="C41" i="16"/>
  <c r="E64" i="1" s="1"/>
  <c r="C197" i="16"/>
  <c r="E23" i="11"/>
  <c r="C169" i="16"/>
  <c r="F65" i="1" l="1"/>
  <c r="H65" i="1"/>
  <c r="C40" i="16"/>
  <c r="D64" i="1" s="1"/>
  <c r="E65" i="1"/>
  <c r="C77" i="16"/>
  <c r="F109" i="1"/>
  <c r="C105" i="16" s="1"/>
  <c r="C99" i="16"/>
  <c r="E37" i="11"/>
  <c r="E39" i="11" s="1"/>
  <c r="C227" i="16"/>
  <c r="F111" i="1" l="1"/>
  <c r="U8" i="12" s="1"/>
  <c r="C76" i="16"/>
  <c r="D65" i="1"/>
  <c r="C230" i="16"/>
  <c r="E20" i="27"/>
  <c r="C102" i="16" l="1"/>
  <c r="D177" i="1"/>
  <c r="E173" i="1"/>
  <c r="C289" i="16"/>
  <c r="E174" i="1"/>
  <c r="D178" i="1" s="1"/>
  <c r="F115" i="1"/>
  <c r="F140" i="1" s="1"/>
  <c r="M9" i="12" l="1"/>
  <c r="G162" i="1"/>
  <c r="E169" i="1" s="1"/>
  <c r="D176" i="1" s="1"/>
  <c r="F145" i="1"/>
  <c r="M10" i="12" s="1"/>
  <c r="C118" i="16"/>
  <c r="C127"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Adrian Rodriguez</author>
  </authors>
  <commentList>
    <comment ref="F70" authorId="0" shapeId="0" xr:uid="{00000000-0006-0000-0000-000001000000}">
      <text>
        <r>
          <rPr>
            <b/>
            <sz val="8"/>
            <color indexed="81"/>
            <rFont val="Tahoma"/>
            <family val="2"/>
          </rPr>
          <t>Preempt Delay Time:</t>
        </r>
        <r>
          <rPr>
            <sz val="8"/>
            <color indexed="81"/>
            <rFont val="Tahoma"/>
            <family val="2"/>
          </rPr>
          <t xml:space="preserve">
Typically (0) sec unless otherwise specified by the Highway Authority</t>
        </r>
      </text>
    </comment>
    <comment ref="F72" authorId="0" shapeId="0" xr:uid="{00000000-0006-0000-0000-000002000000}">
      <text>
        <r>
          <rPr>
            <b/>
            <sz val="8"/>
            <color indexed="81"/>
            <rFont val="Tahoma"/>
            <family val="2"/>
          </rPr>
          <t>Controller Response time to preempt:</t>
        </r>
        <r>
          <rPr>
            <sz val="8"/>
            <color indexed="81"/>
            <rFont val="Tahoma"/>
            <family val="2"/>
          </rPr>
          <t xml:space="preserve">
In Utah, this value is always (0).</t>
        </r>
      </text>
    </comment>
    <comment ref="F82" authorId="0" shapeId="0" xr:uid="{00000000-0006-0000-0000-000003000000}">
      <text>
        <r>
          <rPr>
            <b/>
            <sz val="8"/>
            <color indexed="81"/>
            <rFont val="Tahoma"/>
            <family val="2"/>
          </rPr>
          <t>Min green service time:</t>
        </r>
        <r>
          <rPr>
            <sz val="8"/>
            <color indexed="81"/>
            <rFont val="Tahoma"/>
            <family val="2"/>
          </rPr>
          <t xml:space="preserve">
In Utah, this has been defined as (4)sec by UDOT.</t>
        </r>
      </text>
    </comment>
    <comment ref="F93" authorId="0" shapeId="0" xr:uid="{00000000-0006-0000-0000-000004000000}">
      <text>
        <r>
          <rPr>
            <b/>
            <sz val="8"/>
            <color indexed="81"/>
            <rFont val="Tahoma"/>
            <family val="2"/>
          </rPr>
          <t>Min walk time during RWTT:</t>
        </r>
        <r>
          <rPr>
            <sz val="8"/>
            <color indexed="81"/>
            <rFont val="Tahoma"/>
            <family val="2"/>
          </rPr>
          <t xml:space="preserve">
In Utah, this value should always be (0) to reflect immediate Walk termination.</t>
        </r>
      </text>
    </comment>
    <comment ref="F95" authorId="0" shapeId="0" xr:uid="{00000000-0006-0000-0000-000005000000}">
      <text>
        <r>
          <rPr>
            <b/>
            <sz val="8"/>
            <color indexed="81"/>
            <rFont val="Tahoma"/>
            <family val="2"/>
          </rPr>
          <t>Ped change interval:</t>
        </r>
        <r>
          <rPr>
            <sz val="8"/>
            <color indexed="81"/>
            <rFont val="Tahoma"/>
            <family val="2"/>
          </rPr>
          <t xml:space="preserve">
In Utah, it is the max crosswalk length divided by 4 ft/sec and can occur simultaneously with vehicle yellow change interval and vehicle red clearance interval.</t>
        </r>
      </text>
    </comment>
    <comment ref="F97" authorId="0" shapeId="0" xr:uid="{00000000-0006-0000-0000-000006000000}">
      <text>
        <r>
          <rPr>
            <b/>
            <sz val="8"/>
            <color indexed="81"/>
            <rFont val="Tahoma"/>
            <family val="2"/>
          </rPr>
          <t xml:space="preserve">Vehicle Yellow Change Interval:
</t>
        </r>
        <r>
          <rPr>
            <sz val="8"/>
            <color indexed="81"/>
            <rFont val="Tahoma"/>
            <family val="2"/>
          </rPr>
          <t>Enter (0) if pedestrian change interval runs simultaneously with yellow change interval.</t>
        </r>
      </text>
    </comment>
    <comment ref="F99" authorId="0" shapeId="0" xr:uid="{00000000-0006-0000-0000-000007000000}">
      <text>
        <r>
          <rPr>
            <b/>
            <sz val="8"/>
            <color indexed="81"/>
            <rFont val="Tahoma"/>
            <family val="2"/>
          </rPr>
          <t>Vehicle Red Clearance Change Interval:</t>
        </r>
        <r>
          <rPr>
            <sz val="8"/>
            <color indexed="81"/>
            <rFont val="Tahoma"/>
            <family val="2"/>
          </rPr>
          <t xml:space="preserve">
Enter (0) if pedestrian change interval runs simultaneously with red clearance change interval.</t>
        </r>
      </text>
    </comment>
    <comment ref="F113" authorId="0" shapeId="0" xr:uid="{00000000-0006-0000-0000-000008000000}">
      <text>
        <r>
          <rPr>
            <b/>
            <sz val="8"/>
            <color indexed="81"/>
            <rFont val="Tahoma"/>
            <family val="2"/>
          </rPr>
          <t xml:space="preserve">Desired Min. Separation Time:
</t>
        </r>
        <r>
          <rPr>
            <sz val="8"/>
            <color indexed="81"/>
            <rFont val="Tahoma"/>
            <family val="2"/>
          </rPr>
          <t>Recommended value is from 4-8 seconds.</t>
        </r>
      </text>
    </comment>
    <comment ref="F123" authorId="0" shapeId="0" xr:uid="{00000000-0006-0000-0000-000009000000}">
      <text>
        <r>
          <rPr>
            <b/>
            <sz val="8"/>
            <color indexed="81"/>
            <rFont val="Tahoma"/>
            <family val="2"/>
          </rPr>
          <t>Duration of Flashing Lights before gate Descent:</t>
        </r>
        <r>
          <rPr>
            <sz val="8"/>
            <color indexed="81"/>
            <rFont val="Tahoma"/>
            <family val="2"/>
          </rPr>
          <t xml:space="preserve">
This value typically ranges from 3 to 5 seconds and must be obtained from the railroad.</t>
        </r>
      </text>
    </comment>
    <comment ref="F125" authorId="0" shapeId="0" xr:uid="{00000000-0006-0000-0000-00000A000000}">
      <text>
        <r>
          <rPr>
            <b/>
            <sz val="8"/>
            <color indexed="81"/>
            <rFont val="Tahoma"/>
            <family val="2"/>
          </rPr>
          <t>Full Gate Descent Time:</t>
        </r>
        <r>
          <rPr>
            <sz val="8"/>
            <color indexed="81"/>
            <rFont val="Tahoma"/>
            <family val="2"/>
          </rPr>
          <t xml:space="preserve">
The value must be between 5 and 12 seconds.</t>
        </r>
      </text>
    </comment>
    <comment ref="F127" authorId="0" shapeId="0" xr:uid="{00000000-0006-0000-0000-00000B000000}">
      <text>
        <r>
          <rPr>
            <b/>
            <sz val="8"/>
            <color indexed="81"/>
            <rFont val="Tahoma"/>
            <family val="2"/>
          </rPr>
          <t>Required Min Time:</t>
        </r>
        <r>
          <rPr>
            <sz val="8"/>
            <color indexed="81"/>
            <rFont val="Tahoma"/>
            <family val="2"/>
          </rPr>
          <t xml:space="preserve">
This time must be at least 20 seconds.  Consult the railroad, which may require a greater MT than 20 seconds.</t>
        </r>
      </text>
    </comment>
    <comment ref="F133" authorId="0" shapeId="0" xr:uid="{00000000-0006-0000-0000-00000C000000}">
      <text>
        <r>
          <rPr>
            <b/>
            <sz val="8"/>
            <color indexed="81"/>
            <rFont val="Tahoma"/>
            <family val="2"/>
          </rPr>
          <t>Buffer Time:</t>
        </r>
        <r>
          <rPr>
            <sz val="8"/>
            <color indexed="81"/>
            <rFont val="Tahoma"/>
            <family val="2"/>
          </rPr>
          <t xml:space="preserve">
Obtain the desired value from the railroad .  For Light Rail operations, this value should be (0).</t>
        </r>
      </text>
    </comment>
    <comment ref="F143" authorId="0" shapeId="0" xr:uid="{00000000-0006-0000-0000-00000D000000}">
      <text>
        <r>
          <rPr>
            <b/>
            <sz val="8"/>
            <color indexed="81"/>
            <rFont val="Tahoma"/>
            <family val="2"/>
          </rPr>
          <t>RR Equipment Response Time:</t>
        </r>
        <r>
          <rPr>
            <sz val="8"/>
            <color indexed="81"/>
            <rFont val="Tahoma"/>
            <family val="2"/>
          </rPr>
          <t xml:space="preserve">
Get typical value from RR.</t>
        </r>
      </text>
    </comment>
  </commentList>
</comments>
</file>

<file path=xl/sharedStrings.xml><?xml version="1.0" encoding="utf-8"?>
<sst xmlns="http://schemas.openxmlformats.org/spreadsheetml/2006/main" count="998" uniqueCount="646">
  <si>
    <t>City:</t>
  </si>
  <si>
    <t>County:</t>
  </si>
  <si>
    <t>Date:</t>
  </si>
  <si>
    <t>Completed By:</t>
  </si>
  <si>
    <t>Phone:</t>
  </si>
  <si>
    <t>ft</t>
  </si>
  <si>
    <t>%</t>
  </si>
  <si>
    <t>Grade =</t>
  </si>
  <si>
    <t>Car</t>
  </si>
  <si>
    <t>Bus</t>
  </si>
  <si>
    <t>Semi</t>
  </si>
  <si>
    <t>Distance Traveled (feet)</t>
  </si>
  <si>
    <t>Accel Distance</t>
  </si>
  <si>
    <t>Percent Grade</t>
  </si>
  <si>
    <t>Design Vehicle</t>
  </si>
  <si>
    <t>a</t>
  </si>
  <si>
    <t>b</t>
  </si>
  <si>
    <t>c</t>
  </si>
  <si>
    <t>d</t>
  </si>
  <si>
    <t>SU (Truck)</t>
  </si>
  <si>
    <t>S-BUS 40 (Bus)</t>
  </si>
  <si>
    <t>WB-50 (Semi)</t>
  </si>
  <si>
    <t>yes</t>
  </si>
  <si>
    <t>no</t>
  </si>
  <si>
    <t>Remarks/Justification</t>
  </si>
  <si>
    <t>Controller Type:</t>
  </si>
  <si>
    <t>Worst-Case Conflicting Vehicle Time</t>
  </si>
  <si>
    <t>Worst Case Conflicting Pedestrian Time</t>
  </si>
  <si>
    <t>Maximum Preemption Time Calculation</t>
  </si>
  <si>
    <t>Vehicle-Gate Interaction Time</t>
  </si>
  <si>
    <t>Conflicting Vehicle Clearance Time</t>
  </si>
  <si>
    <t>Approach Vehicle Clearance Time</t>
  </si>
  <si>
    <t>Distance from Center of Gate support post to design vehicle</t>
  </si>
  <si>
    <t>Gate time Passenger</t>
  </si>
  <si>
    <t>Gate Time SU Truck</t>
  </si>
  <si>
    <t>Gate Time Bus</t>
  </si>
  <si>
    <t>Gate Time Semi</t>
  </si>
  <si>
    <t>Advance Preemption</t>
  </si>
  <si>
    <t>Grade=</t>
  </si>
  <si>
    <t>Gate Down</t>
  </si>
  <si>
    <t>Gate Descent</t>
  </si>
  <si>
    <t>Lights Flash</t>
  </si>
  <si>
    <t>Separation</t>
  </si>
  <si>
    <t>Queue Clearance</t>
  </si>
  <si>
    <t>Track Clear Green</t>
  </si>
  <si>
    <t>Ped Clearance</t>
  </si>
  <si>
    <t>Walk</t>
  </si>
  <si>
    <t>Traffic Signal</t>
  </si>
  <si>
    <t>Min Green</t>
  </si>
  <si>
    <t>Yellow</t>
  </si>
  <si>
    <t>DOT Crossing #:</t>
  </si>
  <si>
    <t>Number of Tracks:</t>
  </si>
  <si>
    <t>Semi Truck</t>
  </si>
  <si>
    <t>SU Truck</t>
  </si>
  <si>
    <t>Highway Authority:</t>
  </si>
  <si>
    <t>Highway Authority Contact:</t>
  </si>
  <si>
    <t>North Arrow :</t>
  </si>
  <si>
    <r>
      <t>90</t>
    </r>
    <r>
      <rPr>
        <sz val="11"/>
        <color theme="1"/>
        <rFont val="Calibri"/>
        <family val="2"/>
      </rPr>
      <t>°</t>
    </r>
  </si>
  <si>
    <t>45°</t>
  </si>
  <si>
    <t>135°</t>
  </si>
  <si>
    <t>180°</t>
  </si>
  <si>
    <t>225°</t>
  </si>
  <si>
    <t>270°</t>
  </si>
  <si>
    <t>315°</t>
  </si>
  <si>
    <t>0°</t>
  </si>
  <si>
    <t>Cross Street:</t>
  </si>
  <si>
    <t>Parallel Street:</t>
  </si>
  <si>
    <t>Other!A1</t>
  </si>
  <si>
    <t>Other!A2</t>
  </si>
  <si>
    <t>Other!A3</t>
  </si>
  <si>
    <t>Other!A4</t>
  </si>
  <si>
    <t>Other!A5</t>
  </si>
  <si>
    <t>Other!A6</t>
  </si>
  <si>
    <t>Other!A7</t>
  </si>
  <si>
    <t>Other!A8</t>
  </si>
  <si>
    <t>Acceleration Time Passenger Car
(sec)</t>
  </si>
  <si>
    <t>Acceleration Time SU Truck
(sec)</t>
  </si>
  <si>
    <t>Acceleration Time S-BUS 40
(sec)</t>
  </si>
  <si>
    <t>Acceleration Time WB-50
(sec)</t>
  </si>
  <si>
    <t>2. MTCD = Minimum Track Clearance Distance =</t>
  </si>
  <si>
    <t>1. CSD = Clear Storage Distance =</t>
  </si>
  <si>
    <t>3. DVL = Design Vehicle Length (See Below For Inputtable Cell) =</t>
  </si>
  <si>
    <t>5. DVCD = Design Vehicle Clearance Distance =</t>
  </si>
  <si>
    <t>Total Approach Time</t>
  </si>
  <si>
    <t>This page discusses the methods used for calculating each automatic calculation in the sheet.  The calculations are called out by line number and worked through step by step.</t>
  </si>
  <si>
    <t>4. L = Queue Start Up Distance</t>
  </si>
  <si>
    <t>5. DVCD = Design Vehcile Clearance Distance</t>
  </si>
  <si>
    <t>3. DVL = Design Vehicle Length</t>
  </si>
  <si>
    <t>This calculation is done when you select your design vehicle on line 14.  It automatically enters the value for the design vehicle length entered on line 9, using either the column for Car, SU Truck, Bus, or Semi-Truck, depending on which column on line 14 has been answered "yes" to.  For example, if the column for Semi-Truck had a "yes" on line 14 and the value 50 was input on line 9, the DVL would be 50.</t>
  </si>
  <si>
    <t>I. The interpolation for a through passenger car yields</t>
  </si>
  <si>
    <t>II. The interpolation for a SU truck yields</t>
  </si>
  <si>
    <t>III. The interpolation for a S-BUS 40 yields</t>
  </si>
  <si>
    <t>IV. The Interpolation for a WB-50 yields</t>
  </si>
  <si>
    <t>This is calculated using the 2 equations listed below.</t>
  </si>
  <si>
    <t>I. The multiplier applied to the calculation above for a through passenger car yields</t>
  </si>
  <si>
    <t>II. The multiplier applied to the calculation above for a SU truck yields</t>
  </si>
  <si>
    <t>III. The multiplier applied to the calculation above for S-BUS 40 yields</t>
  </si>
  <si>
    <t>IV. The multiplier applied to the calculation for WB-50 yields</t>
  </si>
  <si>
    <t>Where T = time to accelerate through distance X</t>
  </si>
  <si>
    <t>X = DVCD</t>
  </si>
  <si>
    <t>a,b,c, and d = calibration parameters from table below (Grade Table&gt;400).</t>
  </si>
  <si>
    <t>For each design vehicle, 2 calculations and an interpolation between the two results must be performed in order to get the actual time for the design vehicle to travel through DVCD</t>
  </si>
  <si>
    <t>Through Passenger Car</t>
  </si>
  <si>
    <t>I. The calculation for a through passenger car and any MTCD grade yields</t>
  </si>
  <si>
    <t>II. The calculation for a SU truck must be split into 2 segemnts and then interpolated.</t>
  </si>
  <si>
    <t>a. The first calculation for a SU truck at any MTCD grade % yields</t>
  </si>
  <si>
    <t>b. The second calculation for a SU truck at any MTCD grade % yields</t>
  </si>
  <si>
    <t>c. The interpolation of the two yields</t>
  </si>
  <si>
    <t>III. The calculation for a S-BUS 40 must be split into 2 segemnts and then interpolated.</t>
  </si>
  <si>
    <t>a. The first calculation for a S-BUS 40 at any MTCD grade % yields</t>
  </si>
  <si>
    <t>b. The second calculation for a S-BUS 40 at any MTCD grade % yields</t>
  </si>
  <si>
    <t>c, the interpolation of the two yields</t>
  </si>
  <si>
    <t>IV. II. The calculation for a WB-50 must be split into 2 segemnts and then interpolated.</t>
  </si>
  <si>
    <t>a. The first calculation for a WB-50 at any MTCD grade % yields</t>
  </si>
  <si>
    <t>b. The second calculation for a WB-50 at any MTCD grade % yields</t>
  </si>
  <si>
    <t>Design Vehicle Type</t>
  </si>
  <si>
    <t>Design Vehicle Length (DVL)</t>
  </si>
  <si>
    <t>AASHTO Designation</t>
  </si>
  <si>
    <t>Passenger Car</t>
  </si>
  <si>
    <t>P</t>
  </si>
  <si>
    <t>Single-Unit Truck</t>
  </si>
  <si>
    <t>SU-30</t>
  </si>
  <si>
    <t>Single Unit Truck (3 Axle)</t>
  </si>
  <si>
    <t>SU-40</t>
  </si>
  <si>
    <t>Intercity Bus-40</t>
  </si>
  <si>
    <t>BUS-40</t>
  </si>
  <si>
    <t>Intercity Bus-45</t>
  </si>
  <si>
    <t>BUS-45</t>
  </si>
  <si>
    <t>City Transit Bus</t>
  </si>
  <si>
    <t>CITY-BUS</t>
  </si>
  <si>
    <t>Conventional School Bus (65 Pass.)</t>
  </si>
  <si>
    <t>S-BUS 36</t>
  </si>
  <si>
    <t>Large School Bus (85 Pass.)</t>
  </si>
  <si>
    <t>S-BUS 40</t>
  </si>
  <si>
    <t>Articulated Bus</t>
  </si>
  <si>
    <t>A-BUS</t>
  </si>
  <si>
    <t>Intermediate Semitrailer</t>
  </si>
  <si>
    <t>WB-40</t>
  </si>
  <si>
    <t>Interstate Semitrailer</t>
  </si>
  <si>
    <t>WB-62</t>
  </si>
  <si>
    <t>WB-67</t>
  </si>
  <si>
    <t>Double-Bottom Semitrailer/Trailer</t>
  </si>
  <si>
    <t>WB-67D</t>
  </si>
  <si>
    <t>Rocky Mountain Double-Semitrailer/Trailer</t>
  </si>
  <si>
    <t>WB-92D</t>
  </si>
  <si>
    <t>Triple Semitrailer/Trailer</t>
  </si>
  <si>
    <t>WB-100T</t>
  </si>
  <si>
    <t>Turnpike Double Semitrailer/Trailer</t>
  </si>
  <si>
    <t>WB-109D</t>
  </si>
  <si>
    <t>WB-50</t>
  </si>
  <si>
    <t>Semi-truck</t>
  </si>
  <si>
    <t>Design Vehicle Height</t>
  </si>
  <si>
    <t>A. If DVCD (line 5) is less than 400 and the MTCD grade is 0, the acceleration table tab will be used to linearly interpolate the equation of a line for 4 separate scenarios: one for through passenger cars, one for SU trucks, one for S-BUS 40 and one for WB-50. The graph used to interpolate is shown below.</t>
  </si>
  <si>
    <t>B. If the DVCD is less than 400, but the MTCD grade is greater than 0, a multiplier must be added to the values calculated above.  These multipliers come from the table listed below (Grade Table&lt;400) (Always use the larger value for percent grade and acceleration distance if between 2 values).</t>
  </si>
  <si>
    <t>C. If ther DVCD is greater than 400, the following equation must be used to calculated the time to accelerate through the DVCD</t>
  </si>
  <si>
    <t>A. For a through passenger car, the calculation yields</t>
  </si>
  <si>
    <t>B. For a SU truck, the calculation yields</t>
  </si>
  <si>
    <t>C. For a S-BUS 40, the calculation yields</t>
  </si>
  <si>
    <t>29. Worst case conflicting vehicle or pedestrian time</t>
  </si>
  <si>
    <t>28. Worst case conflicting pedestrian time</t>
  </si>
  <si>
    <t>30. Right-of-way transfer time</t>
  </si>
  <si>
    <t>31. Queue Clearance Time</t>
  </si>
  <si>
    <t>This is calculated using the following equation:</t>
  </si>
  <si>
    <t>CT = Clearance Time</t>
  </si>
  <si>
    <t>MTCD = Min Track Clearance Distance</t>
  </si>
  <si>
    <t>This is rounded up to the nearest whole second and yields</t>
  </si>
  <si>
    <t>Taken from AASHTO Designations Tab.</t>
  </si>
  <si>
    <t>This value is calculated using one of the equations below depending on which design vehicle is selected.</t>
  </si>
  <si>
    <t>For a through passenger car, use the equation below, which yields.</t>
  </si>
  <si>
    <t>For a SU truck, use the equation below, which yields</t>
  </si>
  <si>
    <t>If there is there is a % grade for the MAMD, a mutiplier must be applied to the above calculation which yields</t>
  </si>
  <si>
    <t>For a S-BUS 40, use the equation below which yields</t>
  </si>
  <si>
    <t>If there is a % grade for the MAMD, a multiplier must be applied to the above calculation which yields</t>
  </si>
  <si>
    <t>For a WB-50, use the equation below which yields</t>
  </si>
  <si>
    <t>For a SU Truck, use the equation below which yields</t>
  </si>
  <si>
    <t>If there is a % grade for the MCMD, a multiplier must be applied to the above calculation which yields</t>
  </si>
  <si>
    <t>A. If the MTCD grade is 0, the acceleration table tab will be used to linearly interpolate the equation of a line for 4 separate scenarios: one for through passenger cars, one for SU trucks, one for S-BUS 40 and one for WB-50. The graph used to interpolate is shown below.</t>
  </si>
  <si>
    <t>B. If the MTCD grade is greater than 0, a multiplier must be added to the values calculated above.  These multipliers come from the table listed below (Grade Table&lt;400) (Always use the larger value for percent grade and acceleration distance if between 2 values).</t>
  </si>
  <si>
    <t>The value that is used for the design vehicle specified in the preemption form yields</t>
  </si>
  <si>
    <t>Red Clearance</t>
  </si>
  <si>
    <t>*Yellow Cells Indicate inputtable data. Grey cells are automatically calculated.
** Some automatically calculated cells reference hidden tabs.  To unhide right click any tab and select unhide.</t>
  </si>
  <si>
    <t>Page 1 of 1</t>
  </si>
  <si>
    <t>Page 1 of 3</t>
  </si>
  <si>
    <t>Page 2 of 3</t>
  </si>
  <si>
    <t>Page 3 of 3</t>
  </si>
  <si>
    <t>4. L = Queue startup distance, (CSD+MTCD)=</t>
  </si>
  <si>
    <t>Calc = 2+(line 4)/20.</t>
  </si>
  <si>
    <t>7. MCMD = Maximum Conflicting Move Distance (Optional) =</t>
  </si>
  <si>
    <t>6. MAMD = Maximum Approach Move Distance (Optional) =</t>
  </si>
  <si>
    <t>For this calculation the Gate-Interaction Table tab will be used to linearly interpolate the equation of a line for 4 separate scenarios: one for through passenger cars, one for SU trucks, one for S-BUS 40 and one for WB-50. The graph used to interpolate is shown below.  The value of line 56 must be between 4 ft and 20 ft because the graph only includes distances within that range.</t>
  </si>
  <si>
    <t>From graphic on page 1</t>
  </si>
  <si>
    <t>8. AASHTO designation</t>
  </si>
  <si>
    <t>9. Design Vehicle Length</t>
  </si>
  <si>
    <t>10. Design Vehicle Height</t>
  </si>
  <si>
    <t>11. Time required for design vehicle to start moving</t>
  </si>
  <si>
    <t>12. Time for design vehicle to accelerate through DVCD</t>
  </si>
  <si>
    <t>13. Queue Clearance Time</t>
  </si>
  <si>
    <t>14. Use as design vehicle? (Pick one)</t>
  </si>
  <si>
    <t>15. Preempt delay time (sec)</t>
  </si>
  <si>
    <t>16. Controller response time to preempt (sec)</t>
  </si>
  <si>
    <t>17. Preempt verification and response time (sec)</t>
  </si>
  <si>
    <t>Calc = (Maximum Crosswalk Length)/(4 ft per sec)</t>
  </si>
  <si>
    <t>Sum of Lines 24-27.</t>
  </si>
  <si>
    <t>Line 6</t>
  </si>
  <si>
    <t>Line 7</t>
  </si>
  <si>
    <t>Equations described in Calculation Summary tab.</t>
  </si>
  <si>
    <t>Value must be between 4 &amp; 20.</t>
  </si>
  <si>
    <t>Line 35.</t>
  </si>
  <si>
    <t>Measurement described in Calculation Summary tab.</t>
  </si>
  <si>
    <t>DRAFT Utah Preemption Form</t>
  </si>
  <si>
    <t>18. Worst case conflicting vehicle direction</t>
  </si>
  <si>
    <t>Line 13.</t>
  </si>
  <si>
    <t>Advance Preemption Time</t>
  </si>
  <si>
    <t>Right of Way Transfer Time</t>
  </si>
  <si>
    <t>Value is programmed into Line 9</t>
  </si>
  <si>
    <t>The time in seconds for the design vehicle to accelerate thru the DVCD. This is calculated using the 2 interpolations listed below.</t>
  </si>
  <si>
    <t>Select category of vehicle to use for calculation</t>
  </si>
  <si>
    <t>Page 1 of 5</t>
  </si>
  <si>
    <t>Page 2 of 5</t>
  </si>
  <si>
    <t>Page 3 of 5</t>
  </si>
  <si>
    <t>Page 4 of 5</t>
  </si>
  <si>
    <t>Page 5 of 5</t>
  </si>
  <si>
    <t>19. Min. green service time (sec)</t>
  </si>
  <si>
    <t>20. Yellow change time (sec)</t>
  </si>
  <si>
    <t>21. Red clearance time(sec)</t>
  </si>
  <si>
    <t>22. Worst-case conflicting vehicle time (sec)</t>
  </si>
  <si>
    <t>23. Worst case conflicting pedestrian direction</t>
  </si>
  <si>
    <t>24. Min. walk time during right-of-way transfer (sec)</t>
  </si>
  <si>
    <t>25. Pedestrian change interval (sec)</t>
  </si>
  <si>
    <t>28. Worst case conflicting pedestrian time (sec)</t>
  </si>
  <si>
    <t>29. Worst case conflicting vehicle or pedestrian time (sec)</t>
  </si>
  <si>
    <t>30. Right of Way Transfer Time (sec)</t>
  </si>
  <si>
    <t>31. Queue clearance time (sec)</t>
  </si>
  <si>
    <t>32. Track Clearance Green Time</t>
  </si>
  <si>
    <t>33. Desired minimum separation time (sec)</t>
  </si>
  <si>
    <t>34. Maximum Preemption Time (sec)</t>
  </si>
  <si>
    <t>35. Duration of flashing lights before gate descent starts (sec)</t>
  </si>
  <si>
    <t>36. Full gate descent time (sec)</t>
  </si>
  <si>
    <t>37. Required minimum time, MT (seconds)</t>
  </si>
  <si>
    <t>39. Minimum warning time, MWT (sec)</t>
  </si>
  <si>
    <t>40. Buffer time, BT (sec)</t>
  </si>
  <si>
    <t>42. Additional warning time required from railroad (sec)</t>
  </si>
  <si>
    <t>43. RR equipment response time (sec)</t>
  </si>
  <si>
    <t>44. Total approach time (sec)</t>
  </si>
  <si>
    <t>Add Lines 15 &amp; 16.</t>
  </si>
  <si>
    <t>Greater of Lines 22 &amp; 28.</t>
  </si>
  <si>
    <t>Sum of Lines 19-21.</t>
  </si>
  <si>
    <t>Add lines 17 &amp; 29.</t>
  </si>
  <si>
    <t>Add Lines 37 &amp; 38.</t>
  </si>
  <si>
    <t>Sum of Lines 39-40.</t>
  </si>
  <si>
    <t>Sum of Lines 41-43.</t>
  </si>
  <si>
    <t>45. Calculate Approach Vehicle Clearance Time?</t>
  </si>
  <si>
    <t>46. Max approach move distance (feet)</t>
  </si>
  <si>
    <t>47. Approach vehicle clearance time (sec)</t>
  </si>
  <si>
    <t>48. Calculate conflicting vehicle clearance time?</t>
  </si>
  <si>
    <t>49. Max conflicting move distance (feet)</t>
  </si>
  <si>
    <t>50. Conflicting vehicle clearance time (sec)</t>
  </si>
  <si>
    <t>.</t>
  </si>
  <si>
    <t>9. DVL = Design Vehicle Length</t>
  </si>
  <si>
    <t>10. Design Vehicle height</t>
  </si>
  <si>
    <t>11. Time for design vehicle to start moving</t>
  </si>
  <si>
    <t>17. Preemption Verification and Response Time</t>
  </si>
  <si>
    <t>22. Worst case conflicting vehicle time</t>
  </si>
  <si>
    <t>32. Track Clearance Green</t>
  </si>
  <si>
    <t xml:space="preserve">34. Maximum preemption time </t>
  </si>
  <si>
    <t>38. Clearance Time</t>
  </si>
  <si>
    <t>39. Minimum Warning Time</t>
  </si>
  <si>
    <t>44. Total Approach Time</t>
  </si>
  <si>
    <t>47. Approach vehicle clearance time</t>
  </si>
  <si>
    <t>50. Conflicting vehicle clearance time</t>
  </si>
  <si>
    <t>UDOT Preemption Form Instructions</t>
  </si>
  <si>
    <t>Section 1</t>
  </si>
  <si>
    <t>Grade Crossing Information</t>
  </si>
  <si>
    <t>Before performing any calculations, the following information must be filled out:</t>
  </si>
  <si>
    <t xml:space="preserve">Line # </t>
  </si>
  <si>
    <t>Term</t>
  </si>
  <si>
    <t>Definition</t>
  </si>
  <si>
    <t>-</t>
  </si>
  <si>
    <t>City</t>
  </si>
  <si>
    <t>City where Crossing is located. If Crossing is not within a city, the nearest city should be located and the word “near” should be included in front of the city.</t>
  </si>
  <si>
    <t>County</t>
  </si>
  <si>
    <t>County where Crossing is located.</t>
  </si>
  <si>
    <t>Highway Authority</t>
  </si>
  <si>
    <t>The Highway Authority responsible for the Crossing. If the Crossing is located on a state highway, the Highway Authority is UDOT. If not, the Highway Authority is the local road authority (city or county).</t>
  </si>
  <si>
    <t>DOT Crossing Number</t>
  </si>
  <si>
    <t xml:space="preserve">The DOT crossing number provided by the FRA.  If the number has not already been provided, it can be attained by accessing the FRA database at:  
http://safetydata.fra.dot.gov/officeofsafety/publicsite/crossing/xingqryloc.aspx </t>
  </si>
  <si>
    <t>Date</t>
  </si>
  <si>
    <t>Date that Crossing calculation is performed.</t>
  </si>
  <si>
    <t>Completed By</t>
  </si>
  <si>
    <t>Name of person who performed the calculation.</t>
  </si>
  <si>
    <t>Highway Authority Contact</t>
  </si>
  <si>
    <t>Name of person at the Highway Authority to contact regarding the Crossing.</t>
  </si>
  <si>
    <t>Phone</t>
  </si>
  <si>
    <t>Highway Authority contact’s phone number.</t>
  </si>
  <si>
    <t>Number of Tracks</t>
  </si>
  <si>
    <t>Number of tracks at the Crossing. This data can be obtained from field verification, aerial imaging, or FRA inventory reports (in order of preference).</t>
  </si>
  <si>
    <t>Section 2</t>
  </si>
  <si>
    <t>Crossing Distances and Grades</t>
  </si>
  <si>
    <t>Relevant crossing distances and grades are inputted next on the Utah Preemtion Form (Tab 1).</t>
  </si>
  <si>
    <t xml:space="preserve">Clear Storage Distance (CSD) </t>
  </si>
  <si>
    <t>The shortest distance from 6 feet past the near rail to the adjacent street intersection.</t>
  </si>
  <si>
    <t>Minimum Track Clearance Distance (MTCD)</t>
  </si>
  <si>
    <t>The distance from the gate, distance from the limit line if no gates are used, or 12 feet from track centerline if no limit lines or gates are used to 6 feet past the far rail.  For four-quadrant gate systems, the distance is extended to the point where the rear of a vehicle would be clear of the exit arm.</t>
  </si>
  <si>
    <t>Queue Startup 
Distance (L) (auto-calc)</t>
  </si>
  <si>
    <t>The maximum length in feet of queued vehicles downstream of the design vehicle.  This is the sum of the MTCD and CSD.</t>
  </si>
  <si>
    <t>Design Vehicle Clearance Distance (DVCD) 
(auto-calc)</t>
  </si>
  <si>
    <t>The design vehicle clearance distance is the length in feet that the design vehicle travels to clear the crossing.  This is the sum of the DVL and MTCD.</t>
  </si>
  <si>
    <t>Section 3</t>
  </si>
  <si>
    <t>Design Vehicle Length and Queue Clearance Time</t>
  </si>
  <si>
    <t>Once the relevant data of Section 2 is inputted, the design vehicle can be chosen next.</t>
  </si>
  <si>
    <t>Maximum Approach Move Distance (MAMD)</t>
  </si>
  <si>
    <t>Maximum Conflicting Move Distance (MCMD)</t>
  </si>
  <si>
    <t>Design Vehicle Length (DVL) (auto-calc)</t>
  </si>
  <si>
    <t>Design Vehicle Length is the length of the design vehicle in feet.  Once one decides which design vehicle to use, use the pulldown tabs under “use as design vehicle?” to select the desired type of vehicle. This selection will change the acceleration time based on the TXDOT vehicle acceleration graph using a WB-50 (Semi-truck), S-BUS40 (Bus), SU (Single-unit truck), and left turn passenger car (car) (see Figure 1). If the design vehicle chosen does not meet the exact vehicle used in the graph, the closest vehicle type’s graph will be used and the length of design vehicle listed in Table 2 in Chapter 4 of the Guideline (for example, if one wants a WB-67, use the semi-truck column and in the dropdown select WB-67 as the design vehicle length.  The form will automatically calculate line 13 using the WB-50).</t>
  </si>
  <si>
    <t>Design Vehicle Height 
(auto-calc)</t>
  </si>
  <si>
    <t xml:space="preserve">Design Vehicle Height is the height of the design vehicle in feet.  This data is automatically filled in based on the height of the design vehicle selected and based on the value given for that design vehicle in the 2011 AASHTO Policy on Geometric Design of Highways and Streets. </t>
  </si>
  <si>
    <t>Time required for design vehicle to start moving 
(auto-calc)</t>
  </si>
  <si>
    <t>The time, in seconds, elapsed from the start of track clearance green interval until the design vehicle begins to move in seconds.  This is calculated using the equation 2+(L/20).  This allows 2 seconds for startup time plus a 20 ft/sec “shock wave” speed if the travel lane downstream of the crossing is full of vehicles.</t>
  </si>
  <si>
    <t>Time for design vehicle to accelerate through DVCD (auto-calc)</t>
  </si>
  <si>
    <t>Queue Clearance Time (auto-calc)</t>
  </si>
  <si>
    <t>Section 4</t>
  </si>
  <si>
    <t>Traffic Signal Operations and Associated Times</t>
  </si>
  <si>
    <t>Traffic signal operations and associated times and their definitions are listed below:</t>
  </si>
  <si>
    <t>Preempt Delay Time</t>
  </si>
  <si>
    <t>Controller Response Time</t>
  </si>
  <si>
    <t>The time, in seconds, that elapses while the controller unit electronically registers a preempt call. The controller manufacturer should be contacted to determine this value and the controller type should be included in the remarks.</t>
  </si>
  <si>
    <t>Preempt Verification and Response Time 
(auto-calc)</t>
  </si>
  <si>
    <t>The time, in seconds, between the receipt of the preempt request and the time the controller software actually begins to respond to the preempt call. This is calculated by adding the preempt delay time and controller response time.</t>
  </si>
  <si>
    <t>Minimum Green Time During Right-of-Way Transfer</t>
  </si>
  <si>
    <t>The maximum number of seconds that any vehicle phase must display a green indication before the controller unit will terminate the phase through yellow change and red clearance.  This can be any value greater than or equal to 0 and is usually determined by the highway authority.</t>
  </si>
  <si>
    <t>Yellow Change Time</t>
  </si>
  <si>
    <t>The maximum required yellow change time for any vehicle phase.  This value is usually a standard time and can be obtained from the Highway Authority.</t>
  </si>
  <si>
    <t>Red Clearance Time</t>
  </si>
  <si>
    <t>The maximum required red clearance interval for any vehicle phase.  This value is usually a standard time and can be obtained from the Highway Authority.</t>
  </si>
  <si>
    <t>Worst case-conflicting vehicle time (auto-calc)</t>
  </si>
  <si>
    <t>The time, in seconds, for the worst case conflicting vehicle to complete its movement through the intersection.</t>
  </si>
  <si>
    <t>Minimum walk time during right-of-way transfer</t>
  </si>
  <si>
    <t>Minimum pedestrian walk time, in seconds, for longest crosswalk.  This time can be omitted or shortened and should be obtained from the Highway Authority.</t>
  </si>
  <si>
    <t>Worst-case conflicting pedestrian time 
(auto-calc)</t>
  </si>
  <si>
    <t>The total programmed phase time, in seconds, for the worst-case conflicting pedestrian before transitioning to track clearance green.  This time is calculated by adding the minimum walk time during right-of-way transfer, pedestrian clearance time during right-of-way transfer, vehicle yellow change time, and vehicle red clearance time.</t>
  </si>
  <si>
    <t>Worst-case conflicting vehicle or pedestrian time 
(auto-calc)</t>
  </si>
  <si>
    <t>The maximum conflicting phase time, in seconds, for the intersection.  This time is calculated by comparing the worst-case conflicting pedestrian time and worst-case conflicting vehicle time and picking the larger of the two.</t>
  </si>
  <si>
    <t>Section 5</t>
  </si>
  <si>
    <t>The Maximum preemption calculation and corresponding calculations/inputs are listed below:</t>
  </si>
  <si>
    <t>Right-of-way transfer time (auto-calc)</t>
  </si>
  <si>
    <t>The maximum amount of time needed for the worst case condition before track clearance green.  This is equal to the worst-case conflicting vehicle or pedestrian time.</t>
  </si>
  <si>
    <t>Queue clearance time (auto-calc)</t>
  </si>
  <si>
    <t>Desired minimum separation time</t>
  </si>
  <si>
    <t>Additional time that can be provided between the time the traffic clears the track and the train arrival at a Crossing.  This time can be set to 0 or more seconds and should be obtained from the Railroad.  Values of 4 to 8 seconds are typically used.</t>
  </si>
  <si>
    <t>Maximum preemption time 
(auto-calc)</t>
  </si>
  <si>
    <t>The total amount of time required after the preempt call is initiated by the railroad warning equipment to complete right-of-way transfer to the track clearance interval, initiate track clearance phases, move the design vehicle out of the MTCD, and provide a separation time before the train arrives at a Crossing.  This is calculated by adding right-of-way transfer time, queue clearance time, and desired minimum separation time.</t>
  </si>
  <si>
    <t>Section 6</t>
  </si>
  <si>
    <t>RR Warning Time</t>
  </si>
  <si>
    <t>The RR Warning time and corresponding calculations/inputs are listed below:</t>
  </si>
  <si>
    <t>Duration of flashing lights before gate descent starts</t>
  </si>
  <si>
    <t>The time the railroad warning lights flash before the gates start to descend.  This value can be obtained from the Railroad or measured in the field and is usually between 3 to 5 seconds.</t>
  </si>
  <si>
    <t>Full gate descent time</t>
  </si>
  <si>
    <t>The time, in seconds, it takes for the gates to descend to a horizontal position after they start moving.  This value can be obtained from the Railroad or measured in the field.</t>
  </si>
  <si>
    <t>Required minimum time (MT)</t>
  </si>
  <si>
    <t>The least amount of time active warning devices should be active before the arrival of the train at the grade crossing.  The FRA and Utah MUTCD require that this time be at least 20 seconds.</t>
  </si>
  <si>
    <t>Clearance Time (CT) 
 (auto-calc)</t>
  </si>
  <si>
    <t>The additional time, in seconds, that may be provided for wide or skewed-angle crossings.  Clearance time is a calculation when the MTCD exceeds 35 feet.  The AREMA manual requires that one second of additional CT be added for each additional 10 feet once the MTCD is greater than 35 feet.  The equation is (MTCD-35 ft)*0.1 sec/ft and should be rounded up to the nearest whole number.  For example, if the MTCD is 48 feet, 2 seconds of CT should be used.</t>
  </si>
  <si>
    <t>Minimum warning time (MWT) 
(auto-calc)</t>
  </si>
  <si>
    <t>This is the actual minimum time that active warning devices can be expected to operate at the crossing before the train approaches the grade crossing.  The value is calculated by adding the required minimum time and the clearance time.</t>
  </si>
  <si>
    <t>Buffer Time (BT)</t>
  </si>
  <si>
    <t>Time, in seconds, added by the Railroad to account for train handling.  This value should be obtained from the Railroad.</t>
  </si>
  <si>
    <t>Railroad (RR) equipment response time</t>
  </si>
  <si>
    <t>The amount of time the railroad train detection equipment needs once a train has entered the track circuit before it is acted upon.  This value can be set to zero, but is typically between 2 and 5 seconds.  This value should be obtained from the Railroad.</t>
  </si>
  <si>
    <t>Warning time provided by the railroad 
(auto-calc)</t>
  </si>
  <si>
    <t>The sum of the minimum warning time, buffer time, and railroad equipment response time.  This value should be confirmed with the Railroad.</t>
  </si>
  <si>
    <t>Section 7</t>
  </si>
  <si>
    <t>Approach Vehicle Clearance Time and/or Conflicting Vehicle Clearance Time</t>
  </si>
  <si>
    <t>Once all the values are input into the Utah Preemption Form (Tab 1), the decision can be made as to whether to include calculations for approach vehicle clearance time and/or conflicting vehicle clearance time.  If it is decided that approach vehicle clearance time and/or conflicting vehicle clearance time should be considered in the calculation, the following should be used:</t>
  </si>
  <si>
    <t>It is calculated using different formulas for the different types of design vehicles.</t>
  </si>
  <si>
    <r>
      <t>Passenger car = 2.46+(0.5483*MAMD</t>
    </r>
    <r>
      <rPr>
        <vertAlign val="superscript"/>
        <sz val="11"/>
        <color theme="1"/>
        <rFont val="Calibri"/>
        <family val="2"/>
        <scheme val="minor"/>
      </rPr>
      <t>0.5463</t>
    </r>
    <r>
      <rPr>
        <sz val="11"/>
        <color theme="1"/>
        <rFont val="Calibri"/>
        <family val="2"/>
        <scheme val="minor"/>
      </rPr>
      <t>)</t>
    </r>
  </si>
  <si>
    <r>
      <t>SU truck = 2.48+(0.6026*MAMD</t>
    </r>
    <r>
      <rPr>
        <vertAlign val="superscript"/>
        <sz val="11"/>
        <color theme="1"/>
        <rFont val="Calibri"/>
        <family val="2"/>
        <scheme val="minor"/>
      </rPr>
      <t>0.5474</t>
    </r>
    <r>
      <rPr>
        <sz val="11"/>
        <color theme="1"/>
        <rFont val="Calibri"/>
        <family val="2"/>
        <scheme val="minor"/>
      </rPr>
      <t>)</t>
    </r>
  </si>
  <si>
    <r>
      <t>S-BUS 40 = 2.72+(0.5333*MAMD</t>
    </r>
    <r>
      <rPr>
        <vertAlign val="superscript"/>
        <sz val="11"/>
        <color theme="1"/>
        <rFont val="Calibri"/>
        <family val="2"/>
        <scheme val="minor"/>
      </rPr>
      <t>0.5348</t>
    </r>
    <r>
      <rPr>
        <sz val="11"/>
        <color theme="1"/>
        <rFont val="Calibri"/>
        <family val="2"/>
        <scheme val="minor"/>
      </rPr>
      <t>)</t>
    </r>
  </si>
  <si>
    <r>
      <t>WB-50 = 3.99+(1.2559*MAMD</t>
    </r>
    <r>
      <rPr>
        <vertAlign val="superscript"/>
        <sz val="11"/>
        <color theme="1"/>
        <rFont val="Calibri"/>
        <family val="2"/>
        <scheme val="minor"/>
      </rPr>
      <t>0.5188</t>
    </r>
    <r>
      <rPr>
        <sz val="11"/>
        <color theme="1"/>
        <rFont val="Calibri"/>
        <family val="2"/>
        <scheme val="minor"/>
      </rPr>
      <t>)</t>
    </r>
  </si>
  <si>
    <t>If the MAMD has a grade greater than 0%, multipliers should be used from Figure 3 and should be applied as is discussed in the definition for “Time for design vehicle to accelerate through DVCD.”</t>
  </si>
  <si>
    <t>Conflicting Vehicle Clearance Time 
(auto-calc)</t>
  </si>
  <si>
    <t>The conflicting vehicle clearance time is the time it takes the design vehicle to start up and accelerate through the maximum conflicting move distance.  (See below for description)</t>
  </si>
  <si>
    <t xml:space="preserve">It is calculated using different formulas for the different types of design vehicles. </t>
  </si>
  <si>
    <r>
      <t>Passenger car = 2.46+(0.5483*MCMD</t>
    </r>
    <r>
      <rPr>
        <vertAlign val="superscript"/>
        <sz val="11"/>
        <color theme="1"/>
        <rFont val="Calibri"/>
        <family val="2"/>
        <scheme val="minor"/>
      </rPr>
      <t>0.5463</t>
    </r>
    <r>
      <rPr>
        <sz val="11"/>
        <color theme="1"/>
        <rFont val="Calibri"/>
        <family val="2"/>
        <scheme val="minor"/>
      </rPr>
      <t>)</t>
    </r>
  </si>
  <si>
    <r>
      <t>SU truck = 2.48+(0.6026*MCMD</t>
    </r>
    <r>
      <rPr>
        <vertAlign val="superscript"/>
        <sz val="11"/>
        <color theme="1"/>
        <rFont val="Calibri"/>
        <family val="2"/>
        <scheme val="minor"/>
      </rPr>
      <t>0.5474</t>
    </r>
    <r>
      <rPr>
        <sz val="11"/>
        <color theme="1"/>
        <rFont val="Calibri"/>
        <family val="2"/>
        <scheme val="minor"/>
      </rPr>
      <t>)</t>
    </r>
  </si>
  <si>
    <r>
      <t>S-BUS 40 = 2.72+(0.5333*MCMD</t>
    </r>
    <r>
      <rPr>
        <vertAlign val="superscript"/>
        <sz val="11"/>
        <color theme="1"/>
        <rFont val="Calibri"/>
        <family val="2"/>
        <scheme val="minor"/>
      </rPr>
      <t>0.5348</t>
    </r>
    <r>
      <rPr>
        <sz val="11"/>
        <color theme="1"/>
        <rFont val="Calibri"/>
        <family val="2"/>
        <scheme val="minor"/>
      </rPr>
      <t>)</t>
    </r>
  </si>
  <si>
    <r>
      <t>WB-50 = 3.99+(1.2559*MCMD</t>
    </r>
    <r>
      <rPr>
        <vertAlign val="superscript"/>
        <sz val="11"/>
        <color theme="1"/>
        <rFont val="Calibri"/>
        <family val="2"/>
        <scheme val="minor"/>
      </rPr>
      <t>0.5188</t>
    </r>
    <r>
      <rPr>
        <sz val="11"/>
        <color theme="1"/>
        <rFont val="Calibri"/>
        <family val="2"/>
        <scheme val="minor"/>
      </rPr>
      <t>)</t>
    </r>
  </si>
  <si>
    <t>If the MCMD has a grade greater than 0%, multipliers should be used from Figure 3 and should be applied as is discussed in the definition for “Time for design vehicle to accelerate through DVCD.”</t>
  </si>
  <si>
    <t>Section 8</t>
  </si>
  <si>
    <t>Vehicle-gate interaction time is another optional calculation included in the Utah Preemption Form.  If it is decided that vehicle-gate interaction time should be included in the calculation, the following definitions should be used:</t>
  </si>
  <si>
    <t>Time Required for Design Vehicle to Start Moving 
(auto-calc)</t>
  </si>
  <si>
    <t>The time, in seconds required for the design vehicle to accelerate from a stop and travel the complete design vehicle clearance distance.  This is the same time calculated in Section 3 of these Form Instructions.</t>
  </si>
  <si>
    <t>Time required for design vehicle to accelerate thru DVL (auto-calc)</t>
  </si>
  <si>
    <t>The time required for the design vehicle to accelerate it’s own length.  This is calculated using the graph in Figure 1 or the equation in Figure 2, and the steps describing the calculation are the same as is described Section 3 of these Form Instructions under the definition of “Time for design vehicle to accelerate through DVCD.”  If a grade exists for the MTCD, use the multipliers from Figure 3 as described in Section 3 of these Form Instructions under the definition of “Time for design vehicle to accelerate through DVCD.”</t>
  </si>
  <si>
    <t>Time required for the design vehicle to clear the descending gates
 (auto-calc)</t>
  </si>
  <si>
    <t>The total time once right-of-way transfer begins that is needed before the gates descend in order to not have vehicle-gate conflict. This is calculated by adding the right-of-way transfer time, the time required for design vehicle to start moving, and the time required for design vehicle to accelerate thru the design vehicle length.</t>
  </si>
  <si>
    <t>Duration of flashing lights before gate descent starts (auto-calc)</t>
  </si>
  <si>
    <t>The time the railroad warning lights flash before the gates start to descend.  This value is generated from Tab 1 of the Utah Preemption Form, which is data obtained from the Railroad or measured in the field and is usually between 3 to 5 seconds.  This data is described in Section 6 of these Form Instructions and is input from Form Line 34 on Tab 1.</t>
  </si>
  <si>
    <t>Full gate descent time (auto-calc)</t>
  </si>
  <si>
    <t>The time, in seconds, it takes for the gates to descend to a horizontal position after the gates start moving.   This value is generated from Tab 1 of the Utah Preemption Form, which is data obtained from the Railroad or measured in the field.  This data is described in Section 6 of these Form Instructions and is input from Form Line 35 on Tab 1.</t>
  </si>
  <si>
    <t xml:space="preserve"> Distance from gate  to nearest side of design vehicle (feet)</t>
  </si>
  <si>
    <t>Horizontal distance along the gate in feet from the center of the gate mechanism foundation to nearest side of design vehicle.</t>
  </si>
  <si>
    <t>Proportion of non-gate interaction descent time (auto-calc)</t>
  </si>
  <si>
    <t>The decimal proportion of the full gate descent time during which the gate will not interact with the design vehicle if it is located under the gate.  This is calculated using Figure 5.  Using the curve for the design vehicle chosen, draw a horizontal line from the y axis on Figure 5 using the value of distance from gate to nearest side of design vehicle until it hits the curve, and then draw a vertical line at the intersection of the horizontal line and design vehicle curve.  Use the value that is intersected on the x-axis as the proportion of non-gate interaction descent time.</t>
  </si>
  <si>
    <t>Non-interaction gate descent time 
(auto-calc)</t>
  </si>
  <si>
    <t>The time, in seconds during gate descent that the gate will not interact with the design vehicle if it is located under the gate.  This is calculated by taking the full gate descent time and multiplying it with the proportion of non-gate interaction descent time.</t>
  </si>
  <si>
    <t>Time available for design vehicle to clear descending gates 
(auto-calc)</t>
  </si>
  <si>
    <t>The time after railroad warning lights start to flash that is available for the design vehicle to clear the descending gate before the gate hits the vehicle.  This is calculated by adding the duration of flashing lights before the gate descent starts to the non-interaction gate descent time.</t>
  </si>
  <si>
    <t>Advance preemption to avoid design vehicle gate-interaction (auto-calc)</t>
  </si>
  <si>
    <t>The amount of advance preemption time required to avoid the gates descending on a stationary or slow-moving design vehicle.  This is calculated by subtracting the time available for design vehicle to clear descending gates from the time required for the design vehicle to clear the descending gates.</t>
  </si>
  <si>
    <t>Figure 5 Proportion of gate descent time available as a function of the design vehicle height and the distance from the center of the gate mechanism to the nearest side of the design vehicle. (TXDOT)</t>
  </si>
  <si>
    <t>Advance Preemption and Total Approach Time</t>
  </si>
  <si>
    <t>The last step of the preemption worksheet is calculating the Advance Preemption and Total Approach Time.  The following definitions should be used when performing the calculation.</t>
  </si>
  <si>
    <t>Additional Warning time required from railroad (APT) 
(auto-calc)</t>
  </si>
  <si>
    <t xml:space="preserve">The additional time needed, in seconds, beyond the minimum warning time to provided safe preemption for the worst case-scenario at the crossing. </t>
  </si>
  <si>
    <t>Total Approach Time 
(auto-calc)</t>
  </si>
  <si>
    <t xml:space="preserve">
</t>
  </si>
  <si>
    <t>Design Vehicle Length (DVL) 
(auto-calc)</t>
  </si>
  <si>
    <t>AASHTO Designation is the abbreviation for design vehicles based on the 2011 AASHTO Policy on Geometric Design of Highways and Streets.  This abbreviation is used to determine design vehicle length (DVL) and design vehicle height (DVH).  Abbreviations are split into separate drop down lists based on whether the design vehicle can be categorized as a passenger car, SU truck, bus, or semi-truck.  See AASHTO Designation tab.</t>
  </si>
  <si>
    <t>Worst Case Conflicting Vehicle Direction</t>
  </si>
  <si>
    <t>The vehicle direction (i.e. northbound left) that creates the largest conflicting vehicle time at the intersection.</t>
  </si>
  <si>
    <t>Pedestrian Change Interval</t>
  </si>
  <si>
    <t>Vehicle yellow change interval</t>
  </si>
  <si>
    <t>Vehicle red clearance interval</t>
  </si>
  <si>
    <t>Track Clearance Green Time (auto-calc)</t>
  </si>
  <si>
    <t>38. Clearance time, CT (sec)</t>
  </si>
  <si>
    <t>RR Signal System</t>
  </si>
  <si>
    <t>Link</t>
  </si>
  <si>
    <t>Add lines 11 &amp; 12.</t>
  </si>
  <si>
    <t>26. Vehicle yellow change interval (if not included in line 25)(sec)</t>
  </si>
  <si>
    <t>27. Vehicle red clearance interval (if not included in line 25)(sec)</t>
  </si>
  <si>
    <t>41. Total warning time provided by the railroad (sec)</t>
  </si>
  <si>
    <t>41. Total warning time provided by the railroad</t>
  </si>
  <si>
    <t>Line 11.</t>
  </si>
  <si>
    <t>Line 36.</t>
  </si>
  <si>
    <t>The time, in seconds, required for the design vehicle to accelerate from a stop and travel the complete design vehicle clearance distance.  This time is interpolated using the graph in Figure 1 or the equation in Figure 2.  If the DVCD is less than 400 feet, start at the value of the DVCD on the x-axis of Figure 1, draw a vertical line to the intersection of the design vehicle acceleration time performance curve and then draw a horizontal line from the intersection of the vertical line and design vehicle line to the y-axis.  The value where the horizontal line intersects the y-axis is the time for the design vehicle to accelerate through DVCD. If the value of the DVCD is greater than 400 feet, calculate the time for design vehicle to accelerate through DVCD using the equation from Figure 2 and values from Figure 3 to get the time for design vehicle to accelerate through the DVCD.  When an uphill or positive grade exists for the MTCD, a multiplier must be applied to the value from the graph or equation to get the actual time for design vehicle to accelerate through the DVCD.  See Figure 4 for the applicable multipliers. The correct multiplier is chosen by using the column under the correct design vehicle and percent grade (if the percent grade is between grade percentages, use the larger value) and then using the row that’s value is closest to the DVCD (again, always use the larger value).  For example, if an uphill grade of +3% exists, a WB-50 semi-truck is the design vehicle, and a DVCD of 160 feet exists, a multiplier of 1.34 should be used.</t>
  </si>
  <si>
    <t>The queue clearance time is the total amount of time required after the traffic signal for the approach displays a green, to begin moving a queue of vehicles through the queue startup distance and then move the design vehicle from a stopped position at the far side of the crossing completely through the minimum track clearance distance (MTCD).  This value is computed by adding the time required for a design vehicle to start moving to the time for a design vehicle to accelerate through DVCD.  It is computed for each type of design vehicle (car, SU truck, Bus, Semi-truck) in this part of the Utah Preemption Form and will be summarized later in the Form (Tab 1).</t>
  </si>
  <si>
    <t>The amount of time, in seconds, that the traffic signal controller is programmed to delay before transition from normal operations to railroad preemption operations once the preempt call is received.  The preempt delay time can be any value greater than or equal to 0 and may not be available for all controllers.</t>
  </si>
  <si>
    <t>The queue clearance time is the total amount of time required after the traffic signal for the approach displays green, to begin moving a queue of vehicles through the queue startup distance and then move the design vehicle from a stopped position at the far side of a Crossing completely through the minimum track clearance distance (MTCD).  It is the same queue clearance time as is defined in Section 3 of these Form Instructions.</t>
  </si>
  <si>
    <t>IV. The calculation for a WB-50 must be split into 2 segemnts and then interpolated.</t>
  </si>
  <si>
    <t>Extra RWTT</t>
  </si>
  <si>
    <t>51. Additional RWTT due to Approach/Conflicting Vehicle clearance (sec)</t>
  </si>
  <si>
    <t>Section 1: Grade Crossing Information</t>
  </si>
  <si>
    <t>Section 2: Crossing Distances and Grades</t>
  </si>
  <si>
    <t>Section 3: Design Vehicle Length and Queue Clearance Time</t>
  </si>
  <si>
    <t>The distance (in feet) from the farthest intersection limit line towards a Crossing. See Section 7 of these instructions for further information.</t>
  </si>
  <si>
    <t>The longest distance (in feet) across the adjacent intersection that crosses the path of the track clearance phase. See Section 7 of these instructions for further information.</t>
  </si>
  <si>
    <t>Section 4: Traffic Signal Operations and Associated Times</t>
  </si>
  <si>
    <t>Section 5: Maximum Preemption Time Calculation</t>
  </si>
  <si>
    <t>Section 6: RR Warning Time</t>
  </si>
  <si>
    <t>Section 7: Approach Vehicle Clearance Time and/or Conflicting Vehicle Clearance Time</t>
  </si>
  <si>
    <t>Section 8: Vehicle-Gate Interaction Time</t>
  </si>
  <si>
    <t>Section 9: Time to move past Clear Storage Distance</t>
  </si>
  <si>
    <t>The final value for the design vehicle chosen on line 14 is as follows</t>
  </si>
  <si>
    <t>Additional RWTT***</t>
  </si>
  <si>
    <t>***Additional RWTT is a special timeline addition that adds extra RWTT in the case that the approach move vehicle clearance time or conflicting move vehicle clearance time is larger than the pedestrian clearance time.</t>
  </si>
  <si>
    <t>The time, in seconds, for the worst case pedestrian phase.  This is the flashing don’t walk time before transitioning to vehicle yellow change time and red clearance time.  This time can be omitted or shortened and should be obtained from the Highway Authority.</t>
  </si>
  <si>
    <t>The total time needed after train crosses over the approach circuit before the train reaches the crossing to avoid a conflict using the worst-case scenarios.  This is calculated by adding the warning time provided by the Railroad to the advance preemption time and equipment response time  (TAT=WT + APT+ ERT).</t>
  </si>
  <si>
    <t>APT = Maximum Preemption Time – Minimum Warning Time + Additional RWTT from Approach/Conflict Vehicle Clearance (Optional Tab) + Additional TCG to account for design vehicle gate interaction (Optional Tab) + Additional TCG for vehicle to clear CSD (Optional Tab)</t>
  </si>
  <si>
    <t>52. Calculate vehicle-gate interaction time?</t>
  </si>
  <si>
    <t>53. Time required for design vehicle to start moving (sec)</t>
  </si>
  <si>
    <t>54. Time required for design vehicle to accelerate thru DVL (sec)</t>
  </si>
  <si>
    <t>Add Lines 30, 53 &amp; 54.</t>
  </si>
  <si>
    <t>55. Time required for design vehicle to clear descending gate (sec)</t>
  </si>
  <si>
    <t>56. Duration of flashing lights before gate descent starts (sec)</t>
  </si>
  <si>
    <t>57. Full gate descent time (sec)</t>
  </si>
  <si>
    <t>58. Distance from gate  to nearest side of design vehicle (feet)</t>
  </si>
  <si>
    <t>59. proportion of non-gate interaction descent time</t>
  </si>
  <si>
    <t>60. Non-interaction gate descent time (sec)</t>
  </si>
  <si>
    <t>61. Time available for design vehicle to clear descending gates (sec)</t>
  </si>
  <si>
    <t>62. Advance preemption to avoid design vehicle-gate interaction (sec)</t>
  </si>
  <si>
    <t>63. Additional TCG time to account for design vehicle-gate interaction (sec)</t>
  </si>
  <si>
    <t>Subtract Line 61 from Line 55.</t>
  </si>
  <si>
    <t>Sum of Lines 56 &amp; 60.</t>
  </si>
  <si>
    <t>Line 57 (x) Line 59.</t>
  </si>
  <si>
    <t>64. Add time to TCG to clear CSD</t>
  </si>
  <si>
    <t>65. Distance design vehicle must travel to clear DVL, MTCD, &amp; CSD</t>
  </si>
  <si>
    <t>66. Total time for design vehicle to clear DVL, MTCD, &amp; CSD</t>
  </si>
  <si>
    <t>67. Total time for design vehicle to clear DVCD</t>
  </si>
  <si>
    <t>68. Additional TCG time needed for design vehicle to clear CSD</t>
  </si>
  <si>
    <t>Line 12.</t>
  </si>
  <si>
    <t>Subtract Line 67 from Line 66.</t>
  </si>
  <si>
    <t>53. Time required for design vehicle to start moving</t>
  </si>
  <si>
    <t>51. Additional RWTT due to Approach/Conflicting Vehicle clearance</t>
  </si>
  <si>
    <t>54. Time required for design vehicle to accelerate through DVL</t>
  </si>
  <si>
    <t>55. Time required for design vehicle to clear descending gate</t>
  </si>
  <si>
    <t>56. Duration of flashing lights before gate-descent starts</t>
  </si>
  <si>
    <t>57. Full gate descent time</t>
  </si>
  <si>
    <t>59. Proportion of non-gate interaction descent time</t>
  </si>
  <si>
    <t>60. Non-interaction gate descent time</t>
  </si>
  <si>
    <t>61. Time available for design vehicle to clear descending gates</t>
  </si>
  <si>
    <t>62. Advance preemption time to avoid design-vehicle gate interaction</t>
  </si>
  <si>
    <t>Additional RWTT due to Approach/Conflicting Vehicle clearance 
(auto-calc)</t>
  </si>
  <si>
    <t>The additional RWTT that is added in case the approach move vehicle clearance time or conflicting move vehicle clearance time is larger than the pedestrian clearance time.</t>
  </si>
  <si>
    <t>Additional TCG time to account for design vehicle-gate interaction 
(auto-calc)</t>
  </si>
  <si>
    <t>Distance design vehicle must travel to clear DVL, MTCD, &amp; CSD 
(auto-calc)</t>
  </si>
  <si>
    <t>Sum of Lines 1-3.</t>
  </si>
  <si>
    <t>Total time for design vehicle to clear DVL, MTCD, &amp; CSD 
(auto-calc)</t>
  </si>
  <si>
    <t>Total time for design vehicle to clear DVCD
(auto-calc)</t>
  </si>
  <si>
    <t>The time, in seconds, required for the design vehicle to accelerate from a stop and travel the complete design vehicle clearance distance.</t>
  </si>
  <si>
    <t xml:space="preserve">The distance, in feet, needed for design vehicle to clear the MTCD and CSD so that vehicles cannot store between the tracks and the traffic signal.  </t>
  </si>
  <si>
    <t>The total time, in seconds, for design vehicle to clear DVL, MTCD, &amp; CSD. This is calculated similarly to time for design vehicle to accelerate through DVCD (see line 12) except that CSD is added to the distance used.  See definition line 12 for more information on how this value is calculated.</t>
  </si>
  <si>
    <t>Additional TCG time needed for design vehicle to clear CSD
(auto-calc)</t>
  </si>
  <si>
    <t>The extra track clearance green time required to avoid the gates descending on a stationary or slow-moving design vehicle.  This is calculated by subtracting the the minimum warning time and maximum preemption time from the advance preemption to avoid design vehicle-gate interaction.</t>
  </si>
  <si>
    <t>The extra track clearance green time required so that all vehicles clear CSD as well as DVCD so that no vehicles store between the tracks and the traffic signal.  This option should be considered when the CSD does not have enough length to store the design vehicle (i.e. CSD = 45 ft and DVL = 50 ft). This is calculated by subtracting the total time for design vehicle to clear DVCD from the total time for design vehicle to clear DVL, MTCD, &amp; CSD.</t>
  </si>
  <si>
    <t>The traffic signal time to clear stopped vehicles from the track area on the approach to the signalized highway intersection. The TCG interval should equal or exceed the queue clearance time. The TCG interval must be long enough to prevent a premature display of a red traffic signal for traffic clearing the tracks.  This value is the combination of queue clearance time, additional TCG due to design vehicle gate interaction (optional addition), and additional TCG for design vehicle to clear CSD (optional addition).  For further information see section 8 and section 9.</t>
  </si>
  <si>
    <t>Page 17 of 17</t>
  </si>
  <si>
    <t>Page 16 of 17</t>
  </si>
  <si>
    <t>Page 15 of 17</t>
  </si>
  <si>
    <t>Page 14 of 17</t>
  </si>
  <si>
    <t>Page 13 of 17</t>
  </si>
  <si>
    <t>Page 12 of 17</t>
  </si>
  <si>
    <t>Page 2 of 17</t>
  </si>
  <si>
    <t>Page 3 of 17</t>
  </si>
  <si>
    <t>Page 1 of 17</t>
  </si>
  <si>
    <t>Page 4 of 17</t>
  </si>
  <si>
    <t>Page 5 of 17</t>
  </si>
  <si>
    <t>Page 6 of 17</t>
  </si>
  <si>
    <t>Page 7 of 17</t>
  </si>
  <si>
    <t>Page 8 of 17</t>
  </si>
  <si>
    <t>Page 9 of 17</t>
  </si>
  <si>
    <t>Page 10 of 17</t>
  </si>
  <si>
    <t>Page 11 of 17</t>
  </si>
  <si>
    <t>The pedestrian crosswalk location (i.e. East Leg) that creates the largest conflicting pedestrian time at the intersection.</t>
  </si>
  <si>
    <t>Worst Case Conflicting Pedestrian Crosswalk Location</t>
  </si>
  <si>
    <t>C. For a WB-50 truck, the calculation yields</t>
  </si>
  <si>
    <t>Subtract Line 39 from Line 34.</t>
  </si>
  <si>
    <t>Calculated one of two ways.  If no vehicle-gate interaction or time to clear CSD is used, this value equals the queue clearance time.  If  vehicle-gate interaction and/or time to clear CSD is used, this is calculated by adding queue clearance (Line 31), additional TCG time to account for design vehicle-gate interaction (Line 63), and additional TCG time needed for design vehicle to clear CSD (Line 68).  This calculation yields</t>
  </si>
  <si>
    <t xml:space="preserve">This calculation is done by adding the CSD (Line 1) to the MTCD (Line 2). </t>
  </si>
  <si>
    <t>The design vehicle clearance distance is the sum of the design vehicle length (DVL) and the Minimum Track Clearance Distance (MTCD).  This calculation is done by adding the DVL (Line 3) to the MTCD (Line 2)</t>
  </si>
  <si>
    <t>This calculation is done using the formula 2+(L/20). L = Queue Startup Distance (Line 4)</t>
  </si>
  <si>
    <t>This calculation looks up design vehicle length information in the AASHTO Designations Table (See AASHTO Designations Tab) based on which vehicle is selected for AASHTO Designation (Line 8).</t>
  </si>
  <si>
    <t>This calculation looks up design vehicle height information in the AASHTO Designations Table  (See AASHTO Designations Tab) based on which vehicle is selected for AASHTO Designation (Line 8).</t>
  </si>
  <si>
    <t>12. Time for design vehicle to accelerate through DVCD (Line 5)</t>
  </si>
  <si>
    <t>This is calculated by summing min. green service time (Line 19), yellow change time (Line 20), and red clearance time (Line 21) and yields</t>
  </si>
  <si>
    <t>This is calculated by adding preempt delay time (Line 15) to controller response time to preempt (Line 17) and yields</t>
  </si>
  <si>
    <t>This is calculated by adding time required for design vehicle to start moving (Line 11) to time for design vehicle to accelerate through DVCD (Line 12) for each type of design vehicle.</t>
  </si>
  <si>
    <t>This is calculated by summing min. walk time during right-of-way transfer (Line 24), pedestrian change interval (Line 25), vehicle yellow change interval (Line 26), and vehicle red clearance (Line 27) interval and yields</t>
  </si>
  <si>
    <t>This is calculated by taking the maximum of worst-case conflicting vehicle time (Line 22) and worst case conflicting pedestrian time (Line 28) and yields</t>
  </si>
  <si>
    <t xml:space="preserve">This is calculated by adding preempt verification and response time (Line 17) to worst case conflicting vehicle or pedestrian time (Line 29) and yields </t>
  </si>
  <si>
    <t>Value taken from queue clearance time (Line 13) and rounded up to the nearest whole number.  It chooses the value for the design vehicle that is picked for Use as design vehicle? (Line 14).  If no vehicles are picked,  the value will be 0.</t>
  </si>
  <si>
    <t>This is calculated by adding right of way transfer time (Line 30), track clearance green time (Line 32), desired minimum separation time (Line 33), and additional RWTT due to Approach/Conflicting Vehicle clearance (Line 51) and yields</t>
  </si>
  <si>
    <t>This is calculated by adding required minimum time (MT) (Line 37) and clearance time (CT) (Line 38) and yields</t>
  </si>
  <si>
    <t>42. Additional warning time required from railroad</t>
  </si>
  <si>
    <t>This is calculated by summing minimum warning time (MWT) (Line 39) and buffer time (BT) (Line 40) and yields</t>
  </si>
  <si>
    <t>This is calculated by subtracting minimum warning time (MWT) (Line 39) from Maximum preemption time (Line 34) and yields</t>
  </si>
  <si>
    <t>This is calculated by adding total warning time provided by the railroad (Line 41), additional warning time required from railroad (Line 42), and RR equipment response time (Line 43) and yields</t>
  </si>
  <si>
    <t>This calculation takes the larger of approach vehicle clearance time (Line 47) and Conflicting vehicle clearance time (Line 50) and subtracts right of way transfer time (Line 30).</t>
  </si>
  <si>
    <t>This is time required for design vehicle to start moving (Line 11). It chooses the value for the design vehicle that is picked for Use as design vehicle? (Line 14) and yields</t>
  </si>
  <si>
    <t>This calculation adds right of way transfer time (Line 30), time required for design vehicle to start moving (Line 53), and time required for design vehicle to accelerate thru DVL (Line 52) and yields</t>
  </si>
  <si>
    <t>This is the value of full gate descent time (Line 36) and yields</t>
  </si>
  <si>
    <t>This is the value of Duration of flashing lights before gate descent starts (Line 35) and yields</t>
  </si>
  <si>
    <t>This is the multiplication of full gate descent time (Line 57) and proportion of non-gate interaction descent time (Line 59) and yields</t>
  </si>
  <si>
    <t>This calculation adds duration of flashing lights before gate descent starts (Line 56) and Non-interaction gate descent time (Line 60) and yields</t>
  </si>
  <si>
    <t>This calculation subtracts time available for design vehicle to clear descending gates (Line 61) from time required for design vehicle to clear descending gate (Line 55) and yields</t>
  </si>
  <si>
    <t>This is calculated by subtracting maximum preemption time (Line 34) and minimum warning time (Line 39) from advance preemption to avoid design vehicle-gate interaction (Line 62) and yields</t>
  </si>
  <si>
    <t>66. Time for design vehicle to accelerate through CSD</t>
  </si>
  <si>
    <t>This is calculated by adding Clear Storage Distance (Line 1), Minimum Track Clearance Distance (Line 2), &amp; Design Vehicle Length (Line 3) and yields</t>
  </si>
  <si>
    <t>Value taken from time for design vehicle to accelerate through DVCD (Line 12) and rounded up to the nearest whole number.  It chooses the value for the design vehicle that is picked for Use as design vehicle? (Line 14).  If no vehicles are picked,  the value will be 0.</t>
  </si>
  <si>
    <t>This is calculated by subtracting 67. Total time for design vehicle to clear DVCD (Line 67) from  Total time for design vehicle to clear DVL, MTCD, &amp; CSD (Line 66) and yields:</t>
  </si>
  <si>
    <t>Page 15 of 15</t>
  </si>
  <si>
    <t>Page 14 of 15</t>
  </si>
  <si>
    <t>Page 13 of 15</t>
  </si>
  <si>
    <t>Page 2 of 15</t>
  </si>
  <si>
    <t>Page 3 of 15</t>
  </si>
  <si>
    <t>Page 5 of 15</t>
  </si>
  <si>
    <t>Page 6 of 15</t>
  </si>
  <si>
    <t>Page 7 of 15</t>
  </si>
  <si>
    <t>Page 8 of 15</t>
  </si>
  <si>
    <t>Page 10 of 15</t>
  </si>
  <si>
    <t>Page 9 of 15</t>
  </si>
  <si>
    <t>Page 11 of 15</t>
  </si>
  <si>
    <t>Page 12 of 15</t>
  </si>
  <si>
    <t>Preempt Verification &amp; Response Time</t>
  </si>
  <si>
    <t xml:space="preserve">Crossing Name: </t>
  </si>
  <si>
    <t>DOT #:</t>
  </si>
  <si>
    <t>Railroad Operator:</t>
  </si>
  <si>
    <t>Comments:</t>
  </si>
  <si>
    <t>Date Data Taken</t>
  </si>
  <si>
    <t>Minimum Time (sec)</t>
  </si>
  <si>
    <t>Clearance Time (sec)</t>
  </si>
  <si>
    <t>Minimum Warning Time (sec)</t>
  </si>
  <si>
    <t>Buffer Time (sec)</t>
  </si>
  <si>
    <t>Total Warning Time (sec)</t>
  </si>
  <si>
    <t>Equipment Response Time (sec)</t>
  </si>
  <si>
    <t>Advance Preemption Time (sec)</t>
  </si>
  <si>
    <t>Total Approach Time (sec)</t>
  </si>
  <si>
    <t>Railroad Preemption Time:</t>
  </si>
  <si>
    <t>Railroad Preemption Traffic Signal Timing:</t>
  </si>
  <si>
    <t>Preempt Delay (sec)</t>
  </si>
  <si>
    <t>TCG (sec)</t>
  </si>
  <si>
    <t>TCG Phase</t>
  </si>
  <si>
    <t>Min Dwell (sec)</t>
  </si>
  <si>
    <t>Exit Phases(s)</t>
  </si>
  <si>
    <t>Preempt Extension (sec)</t>
  </si>
  <si>
    <t>ROW Transfer Time (sec)</t>
  </si>
  <si>
    <t>Railroad Owner/Operator:</t>
  </si>
  <si>
    <t>Railroad Operator/Owner:</t>
  </si>
  <si>
    <t>Min Green (sec)</t>
  </si>
  <si>
    <t>Yellow Change Time (sec)</t>
  </si>
  <si>
    <t>Red Clearance Time (sec)</t>
  </si>
  <si>
    <t>Ped Clearance Time (sec)</t>
  </si>
  <si>
    <t>Min Walk Time (sec)</t>
  </si>
  <si>
    <t>Page 4 of 15</t>
  </si>
  <si>
    <t>Implemented On</t>
  </si>
  <si>
    <t>Implemented By</t>
  </si>
  <si>
    <t>Calculations Prepared On</t>
  </si>
  <si>
    <t>Calculations Prepared By</t>
  </si>
  <si>
    <t>UDOT Signal Number</t>
  </si>
  <si>
    <t>Railroad Emergency Contact No.</t>
  </si>
  <si>
    <t>UDOT TMD Number</t>
  </si>
  <si>
    <t>UDOT TMD Contact No.</t>
  </si>
  <si>
    <t>UDOT Signal No.:</t>
  </si>
  <si>
    <t>UDOT Contact No.:</t>
  </si>
  <si>
    <t>Crossing Name:</t>
  </si>
  <si>
    <t>Railroad Contact No.:</t>
  </si>
  <si>
    <t>Utah Preemption Form</t>
  </si>
  <si>
    <t>Grade estimated using Google Earth Street View</t>
  </si>
  <si>
    <t>(800) 848-8715</t>
  </si>
  <si>
    <t>Udot Signal No.:</t>
  </si>
  <si>
    <t>Implemented On*</t>
  </si>
  <si>
    <t>Date Data Taken*</t>
  </si>
  <si>
    <t>* This input affects the visibiility of data on the subsequent exhibits and cannot be left blank. If a date has not been verified, use 1/1/1900.</t>
  </si>
  <si>
    <t>3,8</t>
  </si>
  <si>
    <t>116' crosswalk length</t>
  </si>
  <si>
    <t>4,7</t>
  </si>
  <si>
    <t>69. Remove Track Clearance Green Time?</t>
  </si>
  <si>
    <t>Extended Red Phase</t>
  </si>
  <si>
    <t>70. Track Clearance Green Time to be applied as extended red</t>
  </si>
  <si>
    <t>This is calculated by removing Track Clearance Green Time (Line 32) and applying it as extended red time (Line 70) and yields:</t>
  </si>
  <si>
    <t>Add Lines 30, 32, 33, 51,70.</t>
  </si>
  <si>
    <t>Section 11: Advance Preemption and Total Approach Time</t>
  </si>
  <si>
    <t>Section 11</t>
  </si>
  <si>
    <t>Section 10: Remove Track Clearance Green Phase</t>
  </si>
  <si>
    <t xml:space="preserve">Section 10: </t>
  </si>
  <si>
    <t>Remove Track Clearance Green Phase</t>
  </si>
  <si>
    <t>Remove Track Clearance Green Phase is another optional calculation included in the Utah Preemption Form.  If it is decided that the Track Clearance Green Phase should be replaced by extended red time in the calculation, the following definitions should be used:</t>
  </si>
  <si>
    <t>Track Clearance Green Time to be applied as extended red
(auto-calc)</t>
  </si>
  <si>
    <t>Extension of red clearance time that can be used to replace track clearance green time.  If it is decided that a track clearance green phase should not be provided for the traffic signal (i.e. queue cutter signals or certain trail crossing signals), this option should be considered.</t>
  </si>
  <si>
    <t>UDOT Signal No.</t>
  </si>
  <si>
    <t>The traffic signal number provided by UDOT.  If the number has not already been provided, it can be attained from the Highway Authority contact.</t>
  </si>
  <si>
    <r>
      <rPr>
        <b/>
        <sz val="11"/>
        <color theme="1"/>
        <rFont val="Calibri"/>
        <family val="2"/>
        <scheme val="minor"/>
      </rPr>
      <t>General Instructions:</t>
    </r>
    <r>
      <rPr>
        <sz val="11"/>
        <color theme="1"/>
        <rFont val="Calibri"/>
        <family val="2"/>
        <scheme val="minor"/>
      </rPr>
      <t xml:space="preserve"> Preemption time should be calculated using the UDOT Preemption Form (Tab 1). The Form uses a modified TXDOT methodology to calculate advance preemption and total approach time. The following instructions provide additonal defintions and information related to each line on the UDOT Preemption Form. Lines that are auto calculated are colored grey within the following tables.  </t>
    </r>
  </si>
  <si>
    <t>See Line # 9 for input information.</t>
  </si>
  <si>
    <t>Approach vehicle clearance time</t>
  </si>
  <si>
    <t>Utah Preemption Form - Preemption Calculation Comparison Exhibit</t>
  </si>
  <si>
    <t>Utah Preemption Form - Traffic Signal Cabinet Exhibit</t>
  </si>
  <si>
    <t>North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</si>
</sst>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lt;=9999999]###\-####;\(###\)\ ###\-####"/>
    <numFmt numFmtId="165" formatCode="0.0"/>
    <numFmt numFmtId="166" formatCode="0.000"/>
    <numFmt numFmtId="167" formatCode="#\ &quot; sec&quot;"/>
  </numFmts>
  <fonts count="23"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11"/>
      <name val="Calibri"/>
      <family val="2"/>
      <scheme val="minor"/>
    </font>
    <font>
      <sz val="10"/>
      <name val="Arial"/>
      <family val="2"/>
    </font>
    <font>
      <sz val="8"/>
      <color theme="1"/>
      <name val="Calibri"/>
      <family val="2"/>
      <scheme val="minor"/>
    </font>
    <font>
      <sz val="9"/>
      <color theme="1"/>
      <name val="Calibri"/>
      <family val="2"/>
      <scheme val="minor"/>
    </font>
    <font>
      <sz val="11"/>
      <color theme="1"/>
      <name val="Calibri"/>
      <family val="2"/>
    </font>
    <font>
      <b/>
      <sz val="16"/>
      <color theme="1"/>
      <name val="Calibri"/>
      <family val="2"/>
      <scheme val="minor"/>
    </font>
    <font>
      <u/>
      <sz val="11"/>
      <color theme="10"/>
      <name val="Calibri"/>
      <family val="2"/>
      <scheme val="minor"/>
    </font>
    <font>
      <u/>
      <sz val="8.5"/>
      <color theme="10"/>
      <name val="Calibri"/>
      <family val="2"/>
      <scheme val="minor"/>
    </font>
    <font>
      <sz val="8.5"/>
      <color theme="1"/>
      <name val="Calibri"/>
      <family val="2"/>
      <scheme val="minor"/>
    </font>
    <font>
      <u/>
      <sz val="9"/>
      <color theme="10"/>
      <name val="Calibri"/>
      <family val="2"/>
      <scheme val="minor"/>
    </font>
    <font>
      <i/>
      <sz val="9"/>
      <color theme="1"/>
      <name val="Calibri"/>
      <family val="2"/>
      <scheme val="minor"/>
    </font>
    <font>
      <i/>
      <sz val="10"/>
      <color theme="1"/>
      <name val="Calibri"/>
      <family val="2"/>
      <scheme val="minor"/>
    </font>
    <font>
      <sz val="8"/>
      <color rgb="FFFF0000"/>
      <name val="Calibri"/>
      <family val="2"/>
      <scheme val="minor"/>
    </font>
    <font>
      <sz val="9"/>
      <color rgb="FFFF0000"/>
      <name val="Calibri"/>
      <family val="2"/>
      <scheme val="minor"/>
    </font>
    <font>
      <b/>
      <sz val="13"/>
      <color theme="1"/>
      <name val="Calibri"/>
      <family val="2"/>
      <scheme val="minor"/>
    </font>
    <font>
      <b/>
      <sz val="11.5"/>
      <color theme="1"/>
      <name val="Calibri"/>
      <family val="2"/>
      <scheme val="minor"/>
    </font>
    <font>
      <vertAlign val="superscript"/>
      <sz val="11"/>
      <color theme="1"/>
      <name val="Calibri"/>
      <family val="2"/>
      <scheme val="minor"/>
    </font>
    <font>
      <b/>
      <sz val="8"/>
      <color indexed="81"/>
      <name val="Tahoma"/>
      <family val="2"/>
    </font>
    <font>
      <sz val="8"/>
      <color indexed="81"/>
      <name val="Tahoma"/>
      <family val="2"/>
    </font>
  </fonts>
  <fills count="20">
    <fill>
      <patternFill patternType="none"/>
    </fill>
    <fill>
      <patternFill patternType="gray125"/>
    </fill>
    <fill>
      <patternFill patternType="solid">
        <fgColor theme="2" tint="-9.9978637043366805E-2"/>
        <bgColor indexed="64"/>
      </patternFill>
    </fill>
    <fill>
      <patternFill patternType="solid">
        <fgColor rgb="FFFFFF00"/>
        <bgColor indexed="64"/>
      </patternFill>
    </fill>
    <fill>
      <patternFill patternType="solid">
        <fgColor rgb="FF92D050"/>
        <bgColor indexed="64"/>
      </patternFill>
    </fill>
    <fill>
      <patternFill patternType="solid">
        <fgColor rgb="FFFF0000"/>
        <bgColor indexed="64"/>
      </patternFill>
    </fill>
    <fill>
      <patternFill patternType="solid">
        <fgColor theme="8" tint="-0.249977111117893"/>
        <bgColor indexed="64"/>
      </patternFill>
    </fill>
    <fill>
      <patternFill patternType="solid">
        <fgColor rgb="FF00B050"/>
        <bgColor indexed="64"/>
      </patternFill>
    </fill>
    <fill>
      <patternFill patternType="solid">
        <fgColor rgb="FF00B0F0"/>
        <bgColor indexed="64"/>
      </patternFill>
    </fill>
    <fill>
      <patternFill patternType="solid">
        <fgColor rgb="FF7030A0"/>
        <bgColor indexed="64"/>
      </patternFill>
    </fill>
    <fill>
      <patternFill patternType="solid">
        <fgColor theme="6" tint="-0.499984740745262"/>
        <bgColor indexed="64"/>
      </patternFill>
    </fill>
    <fill>
      <patternFill patternType="solid">
        <fgColor rgb="FF0066FF"/>
        <bgColor indexed="64"/>
      </patternFill>
    </fill>
    <fill>
      <patternFill patternType="solid">
        <fgColor theme="0"/>
        <bgColor indexed="64"/>
      </patternFill>
    </fill>
    <fill>
      <patternFill patternType="solid">
        <fgColor theme="9" tint="-0.249977111117893"/>
        <bgColor indexed="64"/>
      </patternFill>
    </fill>
    <fill>
      <patternFill patternType="solid">
        <fgColor theme="2" tint="-0.499984740745262"/>
        <bgColor indexed="64"/>
      </patternFill>
    </fill>
    <fill>
      <patternFill patternType="solid">
        <fgColor theme="5" tint="0.59999389629810485"/>
        <bgColor indexed="64"/>
      </patternFill>
    </fill>
    <fill>
      <patternFill patternType="solid">
        <fgColor rgb="FFF2F2F2"/>
        <bgColor indexed="64"/>
      </patternFill>
    </fill>
    <fill>
      <patternFill patternType="solid">
        <fgColor theme="0" tint="-0.249977111117893"/>
        <bgColor indexed="64"/>
      </patternFill>
    </fill>
    <fill>
      <patternFill patternType="solid">
        <fgColor theme="5" tint="-0.249977111117893"/>
        <bgColor indexed="64"/>
      </patternFill>
    </fill>
    <fill>
      <patternFill patternType="solid">
        <fgColor theme="8" tint="0.39997558519241921"/>
        <bgColor indexed="64"/>
      </patternFill>
    </fill>
  </fills>
  <borders count="39">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3">
    <xf numFmtId="0" fontId="0" fillId="0" borderId="0"/>
    <xf numFmtId="0" fontId="5" fillId="0" borderId="0"/>
    <xf numFmtId="0" fontId="10" fillId="0" borderId="0" applyNumberFormat="0" applyFill="0" applyBorder="0" applyAlignment="0" applyProtection="0"/>
  </cellStyleXfs>
  <cellXfs count="371">
    <xf numFmtId="0" fontId="0" fillId="0" borderId="0" xfId="0"/>
    <xf numFmtId="0" fontId="0" fillId="0" borderId="0" xfId="0" applyAlignment="1">
      <alignment horizontal="right"/>
    </xf>
    <xf numFmtId="0" fontId="0" fillId="0" borderId="0" xfId="0" applyAlignment="1">
      <alignment horizontal="center"/>
    </xf>
    <xf numFmtId="0" fontId="0" fillId="0" borderId="0" xfId="0" applyAlignment="1">
      <alignment horizontal="left" vertical="center"/>
    </xf>
    <xf numFmtId="0" fontId="0" fillId="0" borderId="0" xfId="0" quotePrefix="1" applyAlignment="1">
      <alignment horizontal="center" vertical="center" wrapText="1"/>
    </xf>
    <xf numFmtId="0" fontId="0" fillId="0" borderId="0" xfId="0" applyAlignment="1">
      <alignment horizontal="center" wrapText="1"/>
    </xf>
    <xf numFmtId="0" fontId="0" fillId="0" borderId="6" xfId="0" applyBorder="1"/>
    <xf numFmtId="2" fontId="0" fillId="0" borderId="0" xfId="0" applyNumberFormat="1"/>
    <xf numFmtId="0" fontId="0" fillId="0" borderId="8" xfId="0" applyBorder="1"/>
    <xf numFmtId="0" fontId="0" fillId="0" borderId="10" xfId="0" applyBorder="1"/>
    <xf numFmtId="0" fontId="1" fillId="0" borderId="0" xfId="0" applyFont="1"/>
    <xf numFmtId="165" fontId="0" fillId="0" borderId="0" xfId="0" applyNumberFormat="1"/>
    <xf numFmtId="165" fontId="1" fillId="0" borderId="0" xfId="0" applyNumberFormat="1" applyFont="1"/>
    <xf numFmtId="0" fontId="2" fillId="0" borderId="0" xfId="0" applyFont="1" applyAlignment="1">
      <alignment horizontal="right"/>
    </xf>
    <xf numFmtId="0" fontId="3" fillId="0" borderId="0" xfId="0" applyFont="1" applyAlignment="1">
      <alignment horizontal="right"/>
    </xf>
    <xf numFmtId="0" fontId="4" fillId="3" borderId="2" xfId="0" applyFont="1" applyFill="1" applyBorder="1" applyProtection="1">
      <protection locked="0"/>
    </xf>
    <xf numFmtId="1" fontId="0" fillId="0" borderId="0" xfId="0" applyNumberFormat="1"/>
    <xf numFmtId="0" fontId="5" fillId="0" borderId="0" xfId="1"/>
    <xf numFmtId="1" fontId="5" fillId="0" borderId="0" xfId="1" applyNumberFormat="1" applyAlignment="1">
      <alignment horizontal="center"/>
    </xf>
    <xf numFmtId="1" fontId="5" fillId="6" borderId="0" xfId="1" applyNumberFormat="1" applyFill="1" applyAlignment="1">
      <alignment horizontal="center"/>
    </xf>
    <xf numFmtId="0" fontId="5" fillId="5" borderId="0" xfId="1" applyFill="1"/>
    <xf numFmtId="1" fontId="5" fillId="10" borderId="0" xfId="1" applyNumberFormat="1" applyFill="1" applyAlignment="1">
      <alignment horizontal="center"/>
    </xf>
    <xf numFmtId="0" fontId="5" fillId="10" borderId="0" xfId="1" quotePrefix="1" applyFill="1" applyAlignment="1">
      <alignment horizontal="center"/>
    </xf>
    <xf numFmtId="0" fontId="5" fillId="6" borderId="0" xfId="1" applyFill="1"/>
    <xf numFmtId="0" fontId="0" fillId="3" borderId="2" xfId="0" applyFill="1" applyBorder="1" applyAlignment="1" applyProtection="1">
      <alignment horizontal="center"/>
      <protection locked="0"/>
    </xf>
    <xf numFmtId="0" fontId="6" fillId="0" borderId="0" xfId="0" applyFont="1"/>
    <xf numFmtId="0" fontId="7" fillId="0" borderId="0" xfId="0" applyFont="1"/>
    <xf numFmtId="0" fontId="0" fillId="0" borderId="0" xfId="0" applyAlignment="1">
      <alignment horizontal="left"/>
    </xf>
    <xf numFmtId="1" fontId="1" fillId="0" borderId="0" xfId="0" applyNumberFormat="1" applyFont="1"/>
    <xf numFmtId="1" fontId="5" fillId="5" borderId="0" xfId="1" applyNumberFormat="1" applyFill="1" applyAlignment="1">
      <alignment horizontal="center"/>
    </xf>
    <xf numFmtId="0" fontId="5" fillId="9" borderId="0" xfId="1" applyFill="1"/>
    <xf numFmtId="1" fontId="5" fillId="9" borderId="0" xfId="1" applyNumberFormat="1" applyFill="1" applyAlignment="1">
      <alignment horizontal="center"/>
    </xf>
    <xf numFmtId="0" fontId="5" fillId="3" borderId="0" xfId="1" applyFill="1"/>
    <xf numFmtId="1" fontId="5" fillId="3" borderId="0" xfId="1" applyNumberFormat="1" applyFill="1" applyAlignment="1">
      <alignment horizontal="center"/>
    </xf>
    <xf numFmtId="0" fontId="5" fillId="4" borderId="0" xfId="1" applyFill="1"/>
    <xf numFmtId="1" fontId="5" fillId="4" borderId="0" xfId="1" applyNumberFormat="1" applyFill="1" applyAlignment="1">
      <alignment horizontal="center"/>
    </xf>
    <xf numFmtId="1" fontId="5" fillId="8" borderId="0" xfId="1" applyNumberFormat="1" applyFill="1" applyAlignment="1">
      <alignment horizontal="center"/>
    </xf>
    <xf numFmtId="0" fontId="5" fillId="8" borderId="0" xfId="1" applyFill="1"/>
    <xf numFmtId="0" fontId="5" fillId="7" borderId="0" xfId="1" applyFill="1"/>
    <xf numFmtId="1" fontId="5" fillId="7" borderId="0" xfId="1" applyNumberFormat="1" applyFill="1" applyAlignment="1">
      <alignment horizontal="center"/>
    </xf>
    <xf numFmtId="0" fontId="0" fillId="2" borderId="2" xfId="0" applyFill="1" applyBorder="1"/>
    <xf numFmtId="2" fontId="5" fillId="0" borderId="0" xfId="1" applyNumberFormat="1"/>
    <xf numFmtId="1" fontId="5" fillId="0" borderId="0" xfId="1" applyNumberFormat="1"/>
    <xf numFmtId="0" fontId="5" fillId="0" borderId="0" xfId="1" quotePrefix="1" applyAlignment="1">
      <alignment horizontal="center"/>
    </xf>
    <xf numFmtId="165" fontId="0" fillId="0" borderId="0" xfId="0" applyNumberFormat="1" applyAlignment="1">
      <alignment horizontal="center"/>
    </xf>
    <xf numFmtId="165" fontId="0" fillId="0" borderId="4" xfId="0" applyNumberFormat="1" applyBorder="1" applyAlignment="1">
      <alignment horizontal="center"/>
    </xf>
    <xf numFmtId="165" fontId="1" fillId="0" borderId="0" xfId="0" applyNumberFormat="1" applyFont="1" applyAlignment="1">
      <alignment horizontal="center"/>
    </xf>
    <xf numFmtId="0" fontId="0" fillId="2" borderId="2" xfId="0" applyFill="1" applyBorder="1" applyAlignment="1">
      <alignment horizontal="center"/>
    </xf>
    <xf numFmtId="0" fontId="0" fillId="0" borderId="2" xfId="0" applyBorder="1"/>
    <xf numFmtId="0" fontId="0" fillId="0" borderId="2" xfId="0" applyBorder="1" applyAlignment="1">
      <alignment horizontal="center" vertical="center"/>
    </xf>
    <xf numFmtId="0" fontId="0" fillId="0" borderId="2" xfId="0" quotePrefix="1" applyBorder="1" applyAlignment="1">
      <alignment horizontal="center" vertical="center"/>
    </xf>
    <xf numFmtId="0" fontId="0" fillId="0" borderId="0" xfId="0" applyAlignment="1">
      <alignment horizontal="center" vertical="center"/>
    </xf>
    <xf numFmtId="0" fontId="0" fillId="0" borderId="0" xfId="0" quotePrefix="1" applyAlignment="1">
      <alignment horizontal="center" vertical="center"/>
    </xf>
    <xf numFmtId="0" fontId="0" fillId="3" borderId="2" xfId="0" applyFill="1" applyBorder="1" applyAlignment="1" applyProtection="1">
      <alignment horizontal="center" vertical="center"/>
      <protection locked="0"/>
    </xf>
    <xf numFmtId="0" fontId="2" fillId="0" borderId="0" xfId="0" applyFont="1"/>
    <xf numFmtId="0" fontId="7" fillId="0" borderId="22" xfId="0" applyFont="1" applyBorder="1" applyAlignment="1">
      <alignment horizontal="center" vertical="center" wrapText="1"/>
    </xf>
    <xf numFmtId="0" fontId="7" fillId="0" borderId="23" xfId="0" applyFont="1" applyBorder="1" applyAlignment="1">
      <alignment horizontal="center" vertical="center" wrapText="1"/>
    </xf>
    <xf numFmtId="0" fontId="7" fillId="0" borderId="3" xfId="0" applyFont="1" applyBorder="1" applyAlignment="1">
      <alignment horizontal="center" vertical="center"/>
    </xf>
    <xf numFmtId="0" fontId="7" fillId="0" borderId="20" xfId="0" applyFont="1" applyBorder="1" applyAlignment="1">
      <alignment horizontal="center" vertical="center"/>
    </xf>
    <xf numFmtId="0" fontId="7" fillId="0" borderId="2" xfId="0" applyFont="1" applyBorder="1" applyAlignment="1">
      <alignment horizontal="center" vertical="center"/>
    </xf>
    <xf numFmtId="0" fontId="7" fillId="0" borderId="15" xfId="0" applyFont="1" applyBorder="1" applyAlignment="1">
      <alignment horizontal="center" vertical="center"/>
    </xf>
    <xf numFmtId="0" fontId="7" fillId="0" borderId="17" xfId="0" applyFont="1" applyBorder="1" applyAlignment="1">
      <alignment horizontal="center" vertical="center"/>
    </xf>
    <xf numFmtId="0" fontId="7" fillId="0" borderId="18" xfId="0" applyFont="1" applyBorder="1" applyAlignment="1">
      <alignment horizontal="center" vertical="center"/>
    </xf>
    <xf numFmtId="0" fontId="0" fillId="0" borderId="0" xfId="0" applyAlignment="1">
      <alignment vertical="center"/>
    </xf>
    <xf numFmtId="0" fontId="7" fillId="0" borderId="21" xfId="0" applyFont="1" applyBorder="1" applyAlignment="1">
      <alignment horizontal="center" vertical="center" wrapText="1"/>
    </xf>
    <xf numFmtId="0" fontId="2" fillId="0" borderId="8" xfId="0" applyFont="1" applyBorder="1" applyAlignment="1">
      <alignment horizontal="right"/>
    </xf>
    <xf numFmtId="0" fontId="0" fillId="0" borderId="0" xfId="0" applyAlignment="1">
      <alignment wrapText="1"/>
    </xf>
    <xf numFmtId="0" fontId="0" fillId="0" borderId="2" xfId="0" applyBorder="1" applyAlignment="1">
      <alignment horizontal="left" wrapText="1" indent="2"/>
    </xf>
    <xf numFmtId="0" fontId="0" fillId="0" borderId="2" xfId="0" applyBorder="1" applyAlignment="1">
      <alignment horizontal="left" indent="2"/>
    </xf>
    <xf numFmtId="0" fontId="0" fillId="0" borderId="11" xfId="0" applyBorder="1" applyAlignment="1">
      <alignment horizontal="left" wrapText="1" indent="2"/>
    </xf>
    <xf numFmtId="0" fontId="0" fillId="0" borderId="11" xfId="0" applyBorder="1" applyAlignment="1">
      <alignment horizontal="left" wrapText="1" indent="5"/>
    </xf>
    <xf numFmtId="0" fontId="0" fillId="2" borderId="2" xfId="0" applyFill="1" applyBorder="1" applyAlignment="1">
      <alignment horizontal="center" vertical="center"/>
    </xf>
    <xf numFmtId="0" fontId="0" fillId="0" borderId="2" xfId="0" applyBorder="1" applyAlignment="1">
      <alignment horizontal="left" wrapText="1" indent="5"/>
    </xf>
    <xf numFmtId="0" fontId="0" fillId="0" borderId="2" xfId="0" applyBorder="1" applyAlignment="1">
      <alignment horizontal="left" indent="5"/>
    </xf>
    <xf numFmtId="165" fontId="0" fillId="2" borderId="2" xfId="0" applyNumberFormat="1" applyFill="1" applyBorder="1" applyAlignment="1">
      <alignment horizontal="center" vertical="center"/>
    </xf>
    <xf numFmtId="165" fontId="0" fillId="2" borderId="2" xfId="0" applyNumberFormat="1" applyFill="1" applyBorder="1" applyAlignment="1">
      <alignment horizontal="center"/>
    </xf>
    <xf numFmtId="0" fontId="0" fillId="0" borderId="5" xfId="0" applyBorder="1" applyAlignment="1">
      <alignment horizontal="left" indent="2"/>
    </xf>
    <xf numFmtId="165" fontId="0" fillId="0" borderId="6" xfId="0" applyNumberFormat="1" applyBorder="1"/>
    <xf numFmtId="0" fontId="0" fillId="0" borderId="7" xfId="0" applyBorder="1" applyAlignment="1">
      <alignment horizontal="left" wrapText="1" indent="3"/>
    </xf>
    <xf numFmtId="165" fontId="0" fillId="0" borderId="8" xfId="0" applyNumberFormat="1" applyBorder="1"/>
    <xf numFmtId="0" fontId="0" fillId="0" borderId="7" xfId="0" applyBorder="1"/>
    <xf numFmtId="0" fontId="0" fillId="0" borderId="9" xfId="0" applyBorder="1"/>
    <xf numFmtId="0" fontId="0" fillId="0" borderId="2" xfId="0" applyBorder="1" applyAlignment="1">
      <alignment horizontal="left" indent="7"/>
    </xf>
    <xf numFmtId="0" fontId="0" fillId="0" borderId="11" xfId="0" applyBorder="1" applyAlignment="1">
      <alignment horizontal="left" indent="7"/>
    </xf>
    <xf numFmtId="0" fontId="0" fillId="0" borderId="7" xfId="0" applyBorder="1" applyAlignment="1">
      <alignment horizontal="left" indent="5"/>
    </xf>
    <xf numFmtId="0" fontId="0" fillId="0" borderId="7" xfId="0" applyBorder="1" applyAlignment="1">
      <alignment horizontal="left" wrapText="1" indent="5"/>
    </xf>
    <xf numFmtId="0" fontId="7" fillId="0" borderId="0" xfId="0" applyFont="1" applyAlignment="1">
      <alignment horizontal="center" vertical="center" wrapText="1"/>
    </xf>
    <xf numFmtId="0" fontId="7" fillId="0" borderId="0" xfId="0" applyFont="1" applyAlignment="1">
      <alignment horizontal="center" vertical="center"/>
    </xf>
    <xf numFmtId="0" fontId="7" fillId="0" borderId="0" xfId="0" applyFont="1" applyAlignment="1">
      <alignment horizontal="center"/>
    </xf>
    <xf numFmtId="0" fontId="0" fillId="0" borderId="21" xfId="0" applyBorder="1" applyAlignment="1">
      <alignment horizontal="center" vertical="center" wrapText="1"/>
    </xf>
    <xf numFmtId="0" fontId="0" fillId="0" borderId="22" xfId="0" applyBorder="1" applyAlignment="1">
      <alignment horizontal="center" vertical="center" wrapText="1"/>
    </xf>
    <xf numFmtId="0" fontId="0" fillId="0" borderId="23" xfId="0" applyBorder="1" applyAlignment="1">
      <alignment horizontal="center" vertical="center" wrapText="1"/>
    </xf>
    <xf numFmtId="0" fontId="8" fillId="0" borderId="19" xfId="0" applyFont="1" applyBorder="1" applyAlignment="1">
      <alignment horizontal="center" vertical="center" wrapText="1"/>
    </xf>
    <xf numFmtId="0" fontId="8" fillId="0" borderId="3" xfId="0" applyFont="1" applyBorder="1" applyAlignment="1">
      <alignment horizontal="center" vertical="center" wrapText="1"/>
    </xf>
    <xf numFmtId="0" fontId="0" fillId="0" borderId="20" xfId="0" applyBorder="1" applyAlignment="1">
      <alignment horizontal="center" vertical="center"/>
    </xf>
    <xf numFmtId="0" fontId="8" fillId="0" borderId="14" xfId="0" applyFont="1" applyBorder="1" applyAlignment="1">
      <alignment horizontal="center" vertical="center" wrapText="1"/>
    </xf>
    <xf numFmtId="0" fontId="8" fillId="0" borderId="2" xfId="0" applyFont="1" applyBorder="1" applyAlignment="1">
      <alignment horizontal="center" vertical="center" wrapText="1"/>
    </xf>
    <xf numFmtId="0" fontId="0" fillId="0" borderId="15" xfId="0" applyBorder="1" applyAlignment="1">
      <alignment horizontal="center" vertical="center"/>
    </xf>
    <xf numFmtId="0" fontId="2" fillId="0" borderId="0" xfId="0" applyFont="1" applyAlignment="1">
      <alignment horizontal="center"/>
    </xf>
    <xf numFmtId="0" fontId="2" fillId="0" borderId="0" xfId="0" applyFont="1" applyAlignment="1">
      <alignment horizontal="left"/>
    </xf>
    <xf numFmtId="0" fontId="0" fillId="0" borderId="0" xfId="0" applyAlignment="1">
      <alignment horizontal="left" indent="7"/>
    </xf>
    <xf numFmtId="0" fontId="0" fillId="0" borderId="2" xfId="0" applyBorder="1" applyAlignment="1">
      <alignment horizontal="left" indent="3"/>
    </xf>
    <xf numFmtId="165" fontId="0" fillId="2" borderId="3" xfId="0" applyNumberFormat="1" applyFill="1" applyBorder="1" applyAlignment="1">
      <alignment horizontal="center" vertical="center"/>
    </xf>
    <xf numFmtId="165" fontId="0" fillId="0" borderId="0" xfId="0" applyNumberFormat="1" applyAlignment="1">
      <alignment horizontal="center" vertical="center"/>
    </xf>
    <xf numFmtId="0" fontId="0" fillId="0" borderId="7" xfId="0" applyBorder="1" applyAlignment="1">
      <alignment horizontal="left" indent="4"/>
    </xf>
    <xf numFmtId="0" fontId="0" fillId="0" borderId="2" xfId="0" applyBorder="1" applyAlignment="1">
      <alignment horizontal="left" wrapText="1" indent="3"/>
    </xf>
    <xf numFmtId="0" fontId="0" fillId="0" borderId="0" xfId="0" applyAlignment="1">
      <alignment horizontal="left" wrapText="1"/>
    </xf>
    <xf numFmtId="1" fontId="0" fillId="2" borderId="2" xfId="0" applyNumberFormat="1" applyFill="1" applyBorder="1" applyAlignment="1">
      <alignment horizontal="center" vertical="center"/>
    </xf>
    <xf numFmtId="2" fontId="0" fillId="2" borderId="2" xfId="0" applyNumberFormat="1" applyFill="1" applyBorder="1" applyAlignment="1">
      <alignment horizontal="center" vertical="center"/>
    </xf>
    <xf numFmtId="0" fontId="0" fillId="0" borderId="6" xfId="0" applyBorder="1" applyAlignment="1">
      <alignment horizontal="center" vertical="center"/>
    </xf>
    <xf numFmtId="0" fontId="0" fillId="0" borderId="0" xfId="0" applyAlignment="1">
      <alignment horizontal="left" indent="5"/>
    </xf>
    <xf numFmtId="2" fontId="0" fillId="2" borderId="2" xfId="0" applyNumberFormat="1" applyFill="1" applyBorder="1" applyAlignment="1">
      <alignment horizontal="right"/>
    </xf>
    <xf numFmtId="0" fontId="0" fillId="0" borderId="2" xfId="0" applyBorder="1" applyAlignment="1">
      <alignment horizontal="center"/>
    </xf>
    <xf numFmtId="0" fontId="0" fillId="0" borderId="5" xfId="0" applyBorder="1" applyAlignment="1">
      <alignment horizontal="left" wrapText="1" indent="3"/>
    </xf>
    <xf numFmtId="0" fontId="0" fillId="0" borderId="7" xfId="0" applyBorder="1" applyAlignment="1">
      <alignment horizontal="left" indent="7"/>
    </xf>
    <xf numFmtId="165" fontId="0" fillId="0" borderId="8" xfId="0" applyNumberFormat="1" applyBorder="1" applyAlignment="1">
      <alignment horizontal="center" vertical="center"/>
    </xf>
    <xf numFmtId="0" fontId="0" fillId="0" borderId="3" xfId="0" applyBorder="1" applyAlignment="1">
      <alignment horizontal="center"/>
    </xf>
    <xf numFmtId="0" fontId="0" fillId="0" borderId="24" xfId="0" applyBorder="1" applyAlignment="1">
      <alignment horizontal="center"/>
    </xf>
    <xf numFmtId="0" fontId="0" fillId="0" borderId="25" xfId="0" applyBorder="1"/>
    <xf numFmtId="0" fontId="0" fillId="0" borderId="25" xfId="0" applyBorder="1" applyAlignment="1">
      <alignment horizontal="center"/>
    </xf>
    <xf numFmtId="0" fontId="0" fillId="0" borderId="26" xfId="0" applyBorder="1" applyAlignment="1">
      <alignment horizontal="center"/>
    </xf>
    <xf numFmtId="0" fontId="0" fillId="0" borderId="19" xfId="0" applyBorder="1" applyAlignment="1">
      <alignment horizontal="center"/>
    </xf>
    <xf numFmtId="1" fontId="0" fillId="0" borderId="27" xfId="0" applyNumberFormat="1" applyBorder="1" applyAlignment="1">
      <alignment horizontal="center"/>
    </xf>
    <xf numFmtId="2" fontId="0" fillId="0" borderId="28" xfId="0" applyNumberFormat="1" applyBorder="1"/>
    <xf numFmtId="1" fontId="0" fillId="0" borderId="29" xfId="0" applyNumberFormat="1" applyBorder="1" applyAlignment="1">
      <alignment horizontal="center"/>
    </xf>
    <xf numFmtId="1" fontId="0" fillId="0" borderId="30" xfId="0" applyNumberFormat="1" applyBorder="1"/>
    <xf numFmtId="2" fontId="0" fillId="0" borderId="30" xfId="0" applyNumberFormat="1" applyBorder="1"/>
    <xf numFmtId="2" fontId="0" fillId="0" borderId="31" xfId="0" applyNumberFormat="1" applyBorder="1"/>
    <xf numFmtId="0" fontId="0" fillId="0" borderId="29" xfId="0" applyBorder="1" applyAlignment="1">
      <alignment horizontal="center"/>
    </xf>
    <xf numFmtId="0" fontId="0" fillId="0" borderId="30" xfId="0" applyBorder="1" applyAlignment="1">
      <alignment horizontal="center"/>
    </xf>
    <xf numFmtId="0" fontId="0" fillId="0" borderId="31" xfId="0" applyBorder="1" applyAlignment="1">
      <alignment horizontal="center"/>
    </xf>
    <xf numFmtId="0" fontId="0" fillId="0" borderId="26" xfId="0" applyBorder="1"/>
    <xf numFmtId="0" fontId="0" fillId="0" borderId="28" xfId="0" applyBorder="1"/>
    <xf numFmtId="0" fontId="0" fillId="0" borderId="30" xfId="0" applyBorder="1"/>
    <xf numFmtId="0" fontId="0" fillId="0" borderId="31" xfId="0" applyBorder="1"/>
    <xf numFmtId="0" fontId="0" fillId="0" borderId="33" xfId="0" applyBorder="1"/>
    <xf numFmtId="0" fontId="0" fillId="0" borderId="34" xfId="0" applyBorder="1"/>
    <xf numFmtId="0" fontId="0" fillId="0" borderId="35" xfId="0" applyBorder="1"/>
    <xf numFmtId="0" fontId="0" fillId="0" borderId="32" xfId="0" applyBorder="1"/>
    <xf numFmtId="0" fontId="0" fillId="0" borderId="36" xfId="0" applyBorder="1"/>
    <xf numFmtId="0" fontId="0" fillId="0" borderId="15" xfId="0" applyBorder="1" applyAlignment="1">
      <alignment horizontal="center"/>
    </xf>
    <xf numFmtId="0" fontId="0" fillId="0" borderId="17" xfId="0" applyBorder="1" applyAlignment="1">
      <alignment horizontal="center"/>
    </xf>
    <xf numFmtId="0" fontId="0" fillId="0" borderId="18" xfId="0" applyBorder="1" applyAlignment="1">
      <alignment horizontal="center"/>
    </xf>
    <xf numFmtId="0" fontId="0" fillId="0" borderId="20" xfId="0"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1" fontId="0" fillId="0" borderId="2" xfId="0" applyNumberFormat="1" applyBorder="1" applyAlignment="1">
      <alignment horizontal="center"/>
    </xf>
    <xf numFmtId="1" fontId="0" fillId="0" borderId="17" xfId="0" applyNumberFormat="1" applyBorder="1" applyAlignment="1">
      <alignment horizontal="center"/>
    </xf>
    <xf numFmtId="0" fontId="0" fillId="0" borderId="14" xfId="0" applyBorder="1" applyAlignment="1">
      <alignment horizontal="center"/>
    </xf>
    <xf numFmtId="0" fontId="0" fillId="0" borderId="16" xfId="0" applyBorder="1" applyAlignment="1">
      <alignment horizontal="center"/>
    </xf>
    <xf numFmtId="0" fontId="0" fillId="0" borderId="17" xfId="0" applyBorder="1"/>
    <xf numFmtId="0" fontId="0" fillId="0" borderId="3" xfId="0" applyBorder="1"/>
    <xf numFmtId="0" fontId="0" fillId="0" borderId="21" xfId="0" applyBorder="1"/>
    <xf numFmtId="0" fontId="0" fillId="0" borderId="22" xfId="0" applyBorder="1"/>
    <xf numFmtId="0" fontId="0" fillId="0" borderId="23" xfId="0" applyBorder="1"/>
    <xf numFmtId="0" fontId="6" fillId="0" borderId="0" xfId="0" applyFont="1" applyAlignment="1">
      <alignment horizontal="right"/>
    </xf>
    <xf numFmtId="1" fontId="5" fillId="11" borderId="0" xfId="1" applyNumberFormat="1" applyFill="1" applyAlignment="1">
      <alignment horizontal="center"/>
    </xf>
    <xf numFmtId="1" fontId="5" fillId="11" borderId="0" xfId="1" applyNumberFormat="1" applyFill="1"/>
    <xf numFmtId="0" fontId="5" fillId="0" borderId="0" xfId="1" applyAlignment="1">
      <alignment horizontal="right"/>
    </xf>
    <xf numFmtId="1" fontId="0" fillId="2" borderId="2" xfId="0" applyNumberFormat="1" applyFill="1" applyBorder="1" applyAlignment="1">
      <alignment horizontal="right"/>
    </xf>
    <xf numFmtId="0" fontId="0" fillId="12" borderId="0" xfId="0" applyFill="1" applyAlignment="1">
      <alignment horizontal="center" vertical="center" wrapText="1"/>
    </xf>
    <xf numFmtId="0" fontId="8" fillId="0" borderId="0" xfId="0" applyFont="1" applyAlignment="1">
      <alignment horizontal="center" vertical="center" wrapText="1"/>
    </xf>
    <xf numFmtId="0" fontId="7" fillId="12" borderId="0" xfId="0" applyFont="1" applyFill="1"/>
    <xf numFmtId="0" fontId="0" fillId="12" borderId="0" xfId="0" applyFill="1"/>
    <xf numFmtId="0" fontId="0" fillId="12" borderId="0" xfId="0" applyFill="1" applyAlignment="1">
      <alignment horizontal="center"/>
    </xf>
    <xf numFmtId="1" fontId="0" fillId="0" borderId="0" xfId="0" applyNumberFormat="1" applyAlignment="1">
      <alignment horizontal="center"/>
    </xf>
    <xf numFmtId="0" fontId="7" fillId="0" borderId="19" xfId="0" applyFont="1" applyBorder="1" applyAlignment="1">
      <alignment horizontal="center" vertical="center"/>
    </xf>
    <xf numFmtId="0" fontId="7" fillId="0" borderId="14" xfId="0" applyFont="1" applyBorder="1" applyAlignment="1">
      <alignment horizontal="center" vertical="center"/>
    </xf>
    <xf numFmtId="0" fontId="7" fillId="0" borderId="16" xfId="0" applyFont="1" applyBorder="1" applyAlignment="1">
      <alignment horizontal="center" vertical="center"/>
    </xf>
    <xf numFmtId="165" fontId="0" fillId="12" borderId="0" xfId="0" applyNumberFormat="1" applyFill="1" applyAlignment="1">
      <alignment horizontal="center" vertical="center"/>
    </xf>
    <xf numFmtId="0" fontId="0" fillId="0" borderId="5" xfId="0" applyBorder="1"/>
    <xf numFmtId="0" fontId="0" fillId="0" borderId="37" xfId="0" applyBorder="1" applyAlignment="1">
      <alignment horizontal="left" indent="5"/>
    </xf>
    <xf numFmtId="165" fontId="0" fillId="2" borderId="37" xfId="0" applyNumberFormat="1" applyFill="1" applyBorder="1" applyAlignment="1">
      <alignment horizontal="center" vertical="center"/>
    </xf>
    <xf numFmtId="0" fontId="0" fillId="0" borderId="4" xfId="0" applyBorder="1" applyAlignment="1">
      <alignment horizontal="left" indent="5"/>
    </xf>
    <xf numFmtId="165" fontId="0" fillId="12" borderId="4" xfId="0" applyNumberFormat="1" applyFill="1" applyBorder="1" applyAlignment="1">
      <alignment horizontal="center" vertical="center"/>
    </xf>
    <xf numFmtId="0" fontId="0" fillId="0" borderId="11" xfId="0" applyBorder="1" applyAlignment="1">
      <alignment horizontal="left" indent="5"/>
    </xf>
    <xf numFmtId="0" fontId="0" fillId="0" borderId="12" xfId="0" applyBorder="1"/>
    <xf numFmtId="0" fontId="0" fillId="0" borderId="0" xfId="0" applyAlignment="1">
      <alignment horizontal="left" indent="2"/>
    </xf>
    <xf numFmtId="0" fontId="0" fillId="0" borderId="4" xfId="0" applyBorder="1"/>
    <xf numFmtId="0" fontId="0" fillId="0" borderId="9" xfId="0" applyBorder="1" applyAlignment="1">
      <alignment horizontal="left" wrapText="1" indent="3"/>
    </xf>
    <xf numFmtId="0" fontId="0" fillId="0" borderId="1" xfId="0" applyBorder="1"/>
    <xf numFmtId="0" fontId="0" fillId="0" borderId="0" xfId="0" applyAlignment="1">
      <alignment horizontal="left" wrapText="1" indent="3"/>
    </xf>
    <xf numFmtId="2" fontId="0" fillId="12" borderId="0" xfId="0" applyNumberFormat="1" applyFill="1" applyAlignment="1">
      <alignment horizontal="center" vertical="center"/>
    </xf>
    <xf numFmtId="0" fontId="9" fillId="0" borderId="0" xfId="0" applyFont="1" applyAlignment="1">
      <alignment horizontal="right" vertical="center"/>
    </xf>
    <xf numFmtId="0" fontId="9" fillId="12" borderId="0" xfId="0" applyFont="1" applyFill="1" applyAlignment="1">
      <alignment horizontal="right" vertical="center"/>
    </xf>
    <xf numFmtId="1" fontId="1" fillId="0" borderId="0" xfId="0" applyNumberFormat="1" applyFont="1" applyAlignment="1">
      <alignment horizontal="center"/>
    </xf>
    <xf numFmtId="1" fontId="0" fillId="0" borderId="0" xfId="0" applyNumberFormat="1" applyAlignment="1">
      <alignment horizontal="right"/>
    </xf>
    <xf numFmtId="1" fontId="5" fillId="0" borderId="0" xfId="1" quotePrefix="1" applyNumberFormat="1" applyAlignment="1">
      <alignment horizontal="center"/>
    </xf>
    <xf numFmtId="0" fontId="12" fillId="0" borderId="0" xfId="0" applyFont="1" applyAlignment="1">
      <alignment vertical="top"/>
    </xf>
    <xf numFmtId="0" fontId="11" fillId="0" borderId="0" xfId="2" applyFont="1" applyBorder="1" applyAlignment="1" applyProtection="1">
      <alignment vertical="top"/>
    </xf>
    <xf numFmtId="0" fontId="13" fillId="0" borderId="0" xfId="2" applyFont="1" applyAlignment="1">
      <alignment horizontal="right" vertical="top"/>
    </xf>
    <xf numFmtId="0" fontId="14" fillId="0" borderId="1" xfId="0" applyFont="1" applyBorder="1"/>
    <xf numFmtId="0" fontId="14" fillId="0" borderId="1" xfId="0" applyFont="1" applyBorder="1" applyAlignment="1">
      <alignment horizontal="left"/>
    </xf>
    <xf numFmtId="0" fontId="15" fillId="0" borderId="0" xfId="0" applyFont="1" applyAlignment="1">
      <alignment horizontal="left"/>
    </xf>
    <xf numFmtId="0" fontId="16" fillId="0" borderId="0" xfId="0" applyFont="1" applyAlignment="1">
      <alignment wrapText="1"/>
    </xf>
    <xf numFmtId="0" fontId="16" fillId="0" borderId="0" xfId="0" applyFont="1"/>
    <xf numFmtId="14" fontId="0" fillId="0" borderId="0" xfId="0" applyNumberFormat="1"/>
    <xf numFmtId="164" fontId="0" fillId="0" borderId="0" xfId="0" applyNumberFormat="1"/>
    <xf numFmtId="0" fontId="13" fillId="0" borderId="0" xfId="2" applyFont="1" applyAlignment="1" applyProtection="1">
      <alignment horizontal="right" vertical="top"/>
    </xf>
    <xf numFmtId="0" fontId="14" fillId="0" borderId="0" xfId="0" applyFont="1"/>
    <xf numFmtId="165" fontId="14" fillId="0" borderId="0" xfId="0" applyNumberFormat="1" applyFont="1"/>
    <xf numFmtId="0" fontId="17" fillId="0" borderId="0" xfId="0" applyFont="1"/>
    <xf numFmtId="0" fontId="14" fillId="0" borderId="1" xfId="0" quotePrefix="1" applyFont="1" applyBorder="1"/>
    <xf numFmtId="0" fontId="0" fillId="0" borderId="2" xfId="0" applyBorder="1" applyAlignment="1">
      <alignment wrapText="1"/>
    </xf>
    <xf numFmtId="166" fontId="0" fillId="0" borderId="0" xfId="0" applyNumberFormat="1"/>
    <xf numFmtId="0" fontId="0" fillId="0" borderId="0" xfId="0" applyAlignment="1">
      <alignment horizontal="left" wrapText="1" indent="2"/>
    </xf>
    <xf numFmtId="0" fontId="0" fillId="0" borderId="5" xfId="0" applyBorder="1" applyAlignment="1">
      <alignment horizontal="left" wrapText="1" indent="2"/>
    </xf>
    <xf numFmtId="1" fontId="5" fillId="13" borderId="0" xfId="1" applyNumberFormat="1" applyFill="1" applyAlignment="1">
      <alignment horizontal="center"/>
    </xf>
    <xf numFmtId="0" fontId="5" fillId="13" borderId="0" xfId="1" applyFill="1"/>
    <xf numFmtId="0" fontId="5" fillId="11" borderId="0" xfId="1" applyFill="1"/>
    <xf numFmtId="0" fontId="5" fillId="14" borderId="0" xfId="1" applyFill="1"/>
    <xf numFmtId="1" fontId="5" fillId="14" borderId="0" xfId="1" applyNumberFormat="1" applyFill="1" applyAlignment="1">
      <alignment horizontal="center"/>
    </xf>
    <xf numFmtId="0" fontId="5" fillId="15" borderId="0" xfId="1" applyFill="1"/>
    <xf numFmtId="1" fontId="5" fillId="15" borderId="0" xfId="1" applyNumberFormat="1" applyFill="1" applyAlignment="1">
      <alignment horizontal="center"/>
    </xf>
    <xf numFmtId="1" fontId="5" fillId="3" borderId="0" xfId="1" quotePrefix="1" applyNumberFormat="1" applyFill="1" applyAlignment="1">
      <alignment horizontal="center"/>
    </xf>
    <xf numFmtId="1" fontId="5" fillId="5" borderId="0" xfId="1" quotePrefix="1" applyNumberFormat="1" applyFill="1" applyAlignment="1">
      <alignment horizontal="center"/>
    </xf>
    <xf numFmtId="0" fontId="16" fillId="0" borderId="0" xfId="0" applyFont="1" applyAlignment="1">
      <alignment horizontal="left" wrapText="1"/>
    </xf>
    <xf numFmtId="0" fontId="9" fillId="0" borderId="0" xfId="0" applyFont="1" applyAlignment="1">
      <alignment horizontal="right"/>
    </xf>
    <xf numFmtId="0" fontId="19" fillId="0" borderId="0" xfId="0" applyFont="1"/>
    <xf numFmtId="0" fontId="1" fillId="16" borderId="2" xfId="0" applyFont="1" applyFill="1" applyBorder="1" applyAlignment="1">
      <alignment horizontal="center" vertical="center" wrapText="1"/>
    </xf>
    <xf numFmtId="0" fontId="0" fillId="0" borderId="2" xfId="0" applyBorder="1" applyAlignment="1">
      <alignment horizontal="center" vertical="center" wrapText="1"/>
    </xf>
    <xf numFmtId="0" fontId="0" fillId="0" borderId="2" xfId="0" applyBorder="1" applyAlignment="1">
      <alignment vertical="center" wrapText="1"/>
    </xf>
    <xf numFmtId="0" fontId="0" fillId="12" borderId="2" xfId="0" applyFill="1" applyBorder="1" applyAlignment="1">
      <alignment horizontal="center" vertical="center" wrapText="1"/>
    </xf>
    <xf numFmtId="0" fontId="0" fillId="12" borderId="2" xfId="0" applyFill="1" applyBorder="1" applyAlignment="1">
      <alignment vertical="center" wrapText="1"/>
    </xf>
    <xf numFmtId="0" fontId="0" fillId="17" borderId="2" xfId="0" applyFill="1" applyBorder="1" applyAlignment="1">
      <alignment horizontal="center" vertical="center" wrapText="1"/>
    </xf>
    <xf numFmtId="0" fontId="0" fillId="17" borderId="2" xfId="0" applyFill="1" applyBorder="1" applyAlignment="1">
      <alignment vertical="center" wrapText="1"/>
    </xf>
    <xf numFmtId="0" fontId="0" fillId="12" borderId="2" xfId="0" applyFill="1" applyBorder="1" applyAlignment="1">
      <alignment horizontal="left" vertical="center" wrapText="1"/>
    </xf>
    <xf numFmtId="0" fontId="0" fillId="17" borderId="2" xfId="0" applyFill="1" applyBorder="1" applyAlignment="1">
      <alignment horizontal="left" vertical="center" wrapText="1"/>
    </xf>
    <xf numFmtId="0" fontId="1" fillId="0" borderId="0" xfId="0" applyFont="1" applyAlignment="1">
      <alignment horizontal="left" wrapText="1" indent="33"/>
    </xf>
    <xf numFmtId="0" fontId="0" fillId="0" borderId="2" xfId="0" applyBorder="1" applyAlignment="1">
      <alignment horizontal="left" vertical="center" wrapText="1"/>
    </xf>
    <xf numFmtId="0" fontId="1" fillId="16" borderId="37" xfId="0" applyFont="1" applyFill="1" applyBorder="1" applyAlignment="1">
      <alignment horizontal="center" vertical="center" wrapText="1"/>
    </xf>
    <xf numFmtId="0" fontId="0" fillId="17" borderId="6" xfId="0" applyFill="1" applyBorder="1" applyAlignment="1">
      <alignment horizontal="left" vertical="center" wrapText="1"/>
    </xf>
    <xf numFmtId="0" fontId="0" fillId="17" borderId="8" xfId="0" applyFill="1" applyBorder="1" applyAlignment="1">
      <alignment horizontal="justify" vertical="center" wrapText="1"/>
    </xf>
    <xf numFmtId="0" fontId="0" fillId="17" borderId="3" xfId="0" applyFill="1" applyBorder="1" applyAlignment="1">
      <alignment horizontal="center" vertical="center" wrapText="1"/>
    </xf>
    <xf numFmtId="0" fontId="0" fillId="17" borderId="10" xfId="0" applyFill="1" applyBorder="1" applyAlignment="1">
      <alignment horizontal="left" vertical="center" wrapText="1"/>
    </xf>
    <xf numFmtId="0" fontId="0" fillId="0" borderId="0" xfId="0" applyAlignment="1">
      <alignment horizontal="justify" vertical="center"/>
    </xf>
    <xf numFmtId="0" fontId="1" fillId="0" borderId="0" xfId="0" applyFont="1" applyAlignment="1">
      <alignment horizontal="left" vertical="center" wrapText="1"/>
    </xf>
    <xf numFmtId="0" fontId="0" fillId="0" borderId="0" xfId="0" applyAlignment="1">
      <alignment horizontal="center" vertical="center" wrapText="1"/>
    </xf>
    <xf numFmtId="0" fontId="0" fillId="0" borderId="0" xfId="0" applyAlignment="1">
      <alignment vertical="center" wrapText="1"/>
    </xf>
    <xf numFmtId="0" fontId="0" fillId="17" borderId="3" xfId="0" applyFill="1" applyBorder="1" applyAlignment="1">
      <alignment horizontal="left" vertical="center" wrapText="1"/>
    </xf>
    <xf numFmtId="0" fontId="0" fillId="12" borderId="0" xfId="0" applyFill="1" applyAlignment="1">
      <alignment horizontal="left" vertical="center" wrapText="1"/>
    </xf>
    <xf numFmtId="0" fontId="1" fillId="0" borderId="0" xfId="0" applyFont="1" applyAlignment="1">
      <alignment horizontal="left" vertical="top" wrapText="1" indent="30"/>
    </xf>
    <xf numFmtId="0" fontId="0" fillId="0" borderId="3" xfId="0" applyBorder="1" applyAlignment="1">
      <alignment horizontal="center" vertical="center" wrapText="1"/>
    </xf>
    <xf numFmtId="0" fontId="0" fillId="0" borderId="3" xfId="0" applyBorder="1" applyAlignment="1">
      <alignment vertical="center" wrapText="1"/>
    </xf>
    <xf numFmtId="0" fontId="0" fillId="17" borderId="3" xfId="0" applyFill="1" applyBorder="1" applyAlignment="1">
      <alignment vertical="center" wrapText="1"/>
    </xf>
    <xf numFmtId="0" fontId="0" fillId="0" borderId="0" xfId="0" applyAlignment="1">
      <alignment horizontal="left" vertical="center" wrapText="1"/>
    </xf>
    <xf numFmtId="0" fontId="0" fillId="17" borderId="37" xfId="0" applyFill="1" applyBorder="1" applyAlignment="1">
      <alignment horizontal="left" vertical="center" wrapText="1"/>
    </xf>
    <xf numFmtId="0" fontId="1" fillId="0" borderId="0" xfId="0" applyFont="1" applyAlignment="1">
      <alignment horizontal="center" vertical="center" wrapText="1"/>
    </xf>
    <xf numFmtId="0" fontId="0" fillId="17" borderId="38" xfId="0" applyFill="1" applyBorder="1" applyAlignment="1">
      <alignment horizontal="left" vertical="center" wrapText="1"/>
    </xf>
    <xf numFmtId="0" fontId="0" fillId="17" borderId="37" xfId="0" applyFill="1" applyBorder="1" applyAlignment="1">
      <alignment horizontal="justify" vertical="center" wrapText="1"/>
    </xf>
    <xf numFmtId="0" fontId="0" fillId="17" borderId="38" xfId="0" applyFill="1" applyBorder="1" applyAlignment="1">
      <alignment horizontal="justify" vertical="center" wrapText="1"/>
    </xf>
    <xf numFmtId="0" fontId="0" fillId="17" borderId="3" xfId="0" applyFill="1" applyBorder="1" applyAlignment="1">
      <alignment horizontal="justify" vertical="center" wrapText="1"/>
    </xf>
    <xf numFmtId="0" fontId="14" fillId="0" borderId="0" xfId="0" applyFont="1" applyAlignment="1">
      <alignment horizontal="left"/>
    </xf>
    <xf numFmtId="0" fontId="0" fillId="0" borderId="0" xfId="0" applyAlignment="1" applyProtection="1">
      <alignment horizontal="center"/>
      <protection locked="0"/>
    </xf>
    <xf numFmtId="0" fontId="2" fillId="0" borderId="0" xfId="0" applyFont="1" applyProtection="1">
      <protection locked="0"/>
    </xf>
    <xf numFmtId="0" fontId="2" fillId="0" borderId="0" xfId="0" applyFont="1" applyAlignment="1" applyProtection="1">
      <alignment horizontal="left"/>
      <protection locked="0"/>
    </xf>
    <xf numFmtId="0" fontId="0" fillId="0" borderId="0" xfId="0" applyAlignment="1">
      <alignment horizontal="left" vertical="top"/>
    </xf>
    <xf numFmtId="0" fontId="0" fillId="0" borderId="2" xfId="0" applyBorder="1" applyAlignment="1">
      <alignment horizontal="left" vertical="top" wrapText="1"/>
    </xf>
    <xf numFmtId="0" fontId="3" fillId="0" borderId="0" xfId="0" applyFont="1"/>
    <xf numFmtId="0" fontId="9" fillId="0" borderId="0" xfId="0" applyFont="1" applyAlignment="1">
      <alignment vertical="center"/>
    </xf>
    <xf numFmtId="0" fontId="0" fillId="0" borderId="11" xfId="0" applyBorder="1"/>
    <xf numFmtId="0" fontId="0" fillId="0" borderId="9" xfId="0" applyBorder="1" applyAlignment="1">
      <alignment horizontal="left" indent="5"/>
    </xf>
    <xf numFmtId="0" fontId="0" fillId="0" borderId="27" xfId="0" applyBorder="1" applyAlignment="1">
      <alignment horizontal="center"/>
    </xf>
    <xf numFmtId="2" fontId="0" fillId="0" borderId="0" xfId="0" applyNumberFormat="1" applyAlignment="1">
      <alignment horizontal="right"/>
    </xf>
    <xf numFmtId="2" fontId="0" fillId="0" borderId="28" xfId="0" applyNumberFormat="1" applyBorder="1" applyAlignment="1">
      <alignment horizontal="right"/>
    </xf>
    <xf numFmtId="0" fontId="0" fillId="0" borderId="2" xfId="0" applyBorder="1" applyAlignment="1">
      <alignment horizontal="left" wrapText="1"/>
    </xf>
    <xf numFmtId="0" fontId="0" fillId="0" borderId="2" xfId="0" applyBorder="1" applyAlignment="1">
      <alignment horizontal="left" vertical="top" wrapText="1" indent="2"/>
    </xf>
    <xf numFmtId="1" fontId="5" fillId="18" borderId="0" xfId="1" applyNumberFormat="1" applyFill="1" applyAlignment="1">
      <alignment horizontal="center"/>
    </xf>
    <xf numFmtId="0" fontId="5" fillId="18" borderId="0" xfId="1" applyFill="1"/>
    <xf numFmtId="1" fontId="5" fillId="19" borderId="0" xfId="1" applyNumberFormat="1" applyFill="1" applyAlignment="1">
      <alignment horizontal="center"/>
    </xf>
    <xf numFmtId="2" fontId="5" fillId="19" borderId="0" xfId="1" applyNumberFormat="1" applyFill="1"/>
    <xf numFmtId="1" fontId="5" fillId="19" borderId="0" xfId="1" applyNumberFormat="1" applyFill="1"/>
    <xf numFmtId="0" fontId="5" fillId="19" borderId="0" xfId="1" applyFill="1"/>
    <xf numFmtId="0" fontId="0" fillId="0" borderId="11" xfId="0" applyBorder="1" applyAlignment="1">
      <alignment horizontal="left"/>
    </xf>
    <xf numFmtId="1" fontId="0" fillId="0" borderId="11" xfId="0" applyNumberFormat="1" applyBorder="1" applyAlignment="1">
      <alignment horizontal="left"/>
    </xf>
    <xf numFmtId="1" fontId="0" fillId="0" borderId="2" xfId="0" applyNumberFormat="1" applyBorder="1"/>
    <xf numFmtId="0" fontId="0" fillId="0" borderId="2" xfId="0" applyBorder="1" applyAlignment="1">
      <alignment horizontal="left"/>
    </xf>
    <xf numFmtId="0" fontId="0" fillId="0" borderId="13" xfId="0" applyBorder="1"/>
    <xf numFmtId="1" fontId="0" fillId="0" borderId="11" xfId="0" applyNumberFormat="1" applyBorder="1"/>
    <xf numFmtId="14" fontId="0" fillId="0" borderId="2" xfId="0" applyNumberFormat="1" applyBorder="1"/>
    <xf numFmtId="14" fontId="0" fillId="0" borderId="11" xfId="0" applyNumberFormat="1" applyBorder="1" applyAlignment="1">
      <alignment horizontal="left"/>
    </xf>
    <xf numFmtId="0" fontId="0" fillId="5" borderId="2" xfId="0" applyFill="1" applyBorder="1" applyAlignment="1">
      <alignment horizontal="left"/>
    </xf>
    <xf numFmtId="0" fontId="0" fillId="5" borderId="2" xfId="0" applyFill="1" applyBorder="1"/>
    <xf numFmtId="167" fontId="0" fillId="0" borderId="2" xfId="0" applyNumberFormat="1" applyBorder="1"/>
    <xf numFmtId="167" fontId="0" fillId="5" borderId="2" xfId="0" applyNumberFormat="1" applyFill="1" applyBorder="1"/>
    <xf numFmtId="0" fontId="0" fillId="0" borderId="13" xfId="0" applyBorder="1" applyAlignment="1">
      <alignment horizontal="left"/>
    </xf>
    <xf numFmtId="0" fontId="0" fillId="0" borderId="12" xfId="0" applyBorder="1" applyAlignment="1">
      <alignment horizontal="left"/>
    </xf>
    <xf numFmtId="0" fontId="0" fillId="5" borderId="2" xfId="0" applyFill="1" applyBorder="1" applyAlignment="1">
      <alignment wrapText="1"/>
    </xf>
    <xf numFmtId="164" fontId="0" fillId="0" borderId="2" xfId="0" applyNumberFormat="1" applyBorder="1"/>
    <xf numFmtId="1" fontId="0" fillId="0" borderId="11" xfId="0" applyNumberFormat="1" applyBorder="1" applyAlignment="1">
      <alignment horizontal="center"/>
    </xf>
    <xf numFmtId="0" fontId="0" fillId="0" borderId="0" xfId="0" applyProtection="1">
      <protection locked="0"/>
    </xf>
    <xf numFmtId="0" fontId="7" fillId="0" borderId="13" xfId="0" applyFont="1" applyBorder="1" applyAlignment="1" applyProtection="1">
      <alignment horizontal="left"/>
      <protection locked="0"/>
    </xf>
    <xf numFmtId="0" fontId="2" fillId="0" borderId="1" xfId="0" applyFont="1" applyBorder="1" applyAlignment="1" applyProtection="1">
      <alignment horizontal="left"/>
      <protection locked="0"/>
    </xf>
    <xf numFmtId="0" fontId="14" fillId="0" borderId="1" xfId="0" applyFont="1" applyBorder="1" applyAlignment="1">
      <alignment horizontal="left"/>
    </xf>
    <xf numFmtId="165" fontId="14" fillId="0" borderId="13" xfId="0" quotePrefix="1" applyNumberFormat="1" applyFont="1" applyBorder="1" applyAlignment="1">
      <alignment horizontal="left"/>
    </xf>
    <xf numFmtId="0" fontId="0" fillId="3" borderId="11" xfId="0" applyFill="1" applyBorder="1" applyAlignment="1" applyProtection="1">
      <alignment horizontal="center"/>
      <protection locked="0"/>
    </xf>
    <xf numFmtId="0" fontId="0" fillId="3" borderId="13" xfId="0" applyFill="1" applyBorder="1" applyAlignment="1" applyProtection="1">
      <alignment horizontal="center"/>
      <protection locked="0"/>
    </xf>
    <xf numFmtId="0" fontId="0" fillId="3" borderId="12" xfId="0" applyFill="1" applyBorder="1" applyAlignment="1" applyProtection="1">
      <alignment horizontal="center"/>
      <protection locked="0"/>
    </xf>
    <xf numFmtId="0" fontId="0" fillId="2" borderId="11" xfId="0" applyFill="1" applyBorder="1" applyAlignment="1">
      <alignment horizontal="center"/>
    </xf>
    <xf numFmtId="0" fontId="0" fillId="2" borderId="12" xfId="0" applyFill="1" applyBorder="1" applyAlignment="1">
      <alignment horizontal="center"/>
    </xf>
    <xf numFmtId="165" fontId="0" fillId="0" borderId="4" xfId="0" applyNumberFormat="1" applyBorder="1" applyAlignment="1">
      <alignment horizontal="center"/>
    </xf>
    <xf numFmtId="165" fontId="0" fillId="0" borderId="0" xfId="0" applyNumberFormat="1" applyAlignment="1">
      <alignment horizontal="center"/>
    </xf>
    <xf numFmtId="165" fontId="1" fillId="0" borderId="0" xfId="0" applyNumberFormat="1" applyFont="1" applyAlignment="1">
      <alignment horizontal="center"/>
    </xf>
    <xf numFmtId="0" fontId="14" fillId="0" borderId="1" xfId="0" applyFont="1" applyBorder="1" applyAlignment="1" applyProtection="1">
      <alignment horizontal="left"/>
      <protection locked="0"/>
    </xf>
    <xf numFmtId="165" fontId="14" fillId="0" borderId="13" xfId="0" applyNumberFormat="1" applyFont="1" applyBorder="1" applyAlignment="1">
      <alignment horizontal="left"/>
    </xf>
    <xf numFmtId="0" fontId="16" fillId="0" borderId="0" xfId="0" applyFont="1" applyAlignment="1">
      <alignment horizontal="left" wrapText="1"/>
    </xf>
    <xf numFmtId="0" fontId="2" fillId="0" borderId="1" xfId="0" applyFont="1" applyBorder="1" applyProtection="1">
      <protection locked="0"/>
    </xf>
    <xf numFmtId="1" fontId="1" fillId="2" borderId="11" xfId="0" applyNumberFormat="1" applyFont="1" applyFill="1" applyBorder="1" applyAlignment="1">
      <alignment horizontal="center"/>
    </xf>
    <xf numFmtId="1" fontId="1" fillId="2" borderId="12" xfId="0" applyNumberFormat="1" applyFont="1" applyFill="1" applyBorder="1" applyAlignment="1">
      <alignment horizontal="center"/>
    </xf>
    <xf numFmtId="1" fontId="0" fillId="3" borderId="11" xfId="0" applyNumberFormat="1" applyFill="1" applyBorder="1" applyAlignment="1" applyProtection="1">
      <alignment horizontal="center"/>
      <protection locked="0"/>
    </xf>
    <xf numFmtId="1" fontId="0" fillId="3" borderId="12" xfId="0" applyNumberFormat="1" applyFill="1" applyBorder="1" applyAlignment="1" applyProtection="1">
      <alignment horizontal="center"/>
      <protection locked="0"/>
    </xf>
    <xf numFmtId="0" fontId="2" fillId="0" borderId="0" xfId="0" applyFont="1" applyAlignment="1">
      <alignment horizontal="right"/>
    </xf>
    <xf numFmtId="0" fontId="2" fillId="0" borderId="8" xfId="0" applyFont="1" applyBorder="1" applyAlignment="1">
      <alignment horizontal="right"/>
    </xf>
    <xf numFmtId="1" fontId="0" fillId="2" borderId="11" xfId="0" applyNumberFormat="1" applyFill="1" applyBorder="1" applyAlignment="1">
      <alignment horizontal="center"/>
    </xf>
    <xf numFmtId="1" fontId="0" fillId="2" borderId="12" xfId="0" applyNumberFormat="1" applyFill="1" applyBorder="1" applyAlignment="1">
      <alignment horizontal="center"/>
    </xf>
    <xf numFmtId="0" fontId="14" fillId="0" borderId="13" xfId="0" applyFont="1" applyBorder="1" applyAlignment="1">
      <alignment horizontal="left"/>
    </xf>
    <xf numFmtId="0" fontId="4" fillId="3" borderId="11" xfId="0" applyFont="1" applyFill="1" applyBorder="1" applyAlignment="1" applyProtection="1">
      <alignment horizontal="center"/>
      <protection locked="0"/>
    </xf>
    <xf numFmtId="0" fontId="4" fillId="3" borderId="12" xfId="0" applyFont="1" applyFill="1" applyBorder="1" applyAlignment="1" applyProtection="1">
      <alignment horizontal="center"/>
      <protection locked="0"/>
    </xf>
    <xf numFmtId="0" fontId="14" fillId="0" borderId="1" xfId="0" applyFont="1" applyBorder="1" applyAlignment="1">
      <alignment horizontal="center"/>
    </xf>
    <xf numFmtId="0" fontId="14" fillId="0" borderId="1" xfId="0" applyFont="1" applyBorder="1" applyAlignment="1" applyProtection="1">
      <alignment horizontal="center"/>
      <protection locked="0"/>
    </xf>
    <xf numFmtId="0" fontId="2" fillId="0" borderId="13" xfId="0" applyFont="1" applyBorder="1" applyAlignment="1" applyProtection="1">
      <alignment horizontal="left"/>
      <protection locked="0"/>
    </xf>
    <xf numFmtId="165" fontId="2" fillId="0" borderId="13" xfId="0" applyNumberFormat="1" applyFont="1" applyBorder="1" applyAlignment="1" applyProtection="1">
      <alignment horizontal="left"/>
      <protection locked="0"/>
    </xf>
    <xf numFmtId="0" fontId="3" fillId="0" borderId="0" xfId="0" applyFont="1" applyAlignment="1">
      <alignment horizontal="right"/>
    </xf>
    <xf numFmtId="14" fontId="0" fillId="0" borderId="1" xfId="0" applyNumberFormat="1" applyBorder="1" applyAlignment="1" applyProtection="1">
      <alignment horizontal="center"/>
      <protection locked="0"/>
    </xf>
    <xf numFmtId="0" fontId="0" fillId="0" borderId="1" xfId="0" applyBorder="1" applyAlignment="1" applyProtection="1">
      <alignment horizontal="center"/>
      <protection locked="0"/>
    </xf>
    <xf numFmtId="0" fontId="0" fillId="0" borderId="0" xfId="0" applyAlignment="1">
      <alignment horizontal="center"/>
    </xf>
    <xf numFmtId="0" fontId="2" fillId="0" borderId="0" xfId="0" applyFont="1" applyAlignment="1">
      <alignment horizontal="right" vertical="top"/>
    </xf>
    <xf numFmtId="0" fontId="0" fillId="3" borderId="2" xfId="0" applyFill="1" applyBorder="1" applyAlignment="1" applyProtection="1">
      <alignment horizontal="center"/>
      <protection locked="0"/>
    </xf>
    <xf numFmtId="0" fontId="0" fillId="0" borderId="1" xfId="0" applyBorder="1" applyAlignment="1">
      <alignment horizontal="center"/>
    </xf>
    <xf numFmtId="14" fontId="0" fillId="0" borderId="1" xfId="0" applyNumberFormat="1" applyBorder="1" applyAlignment="1">
      <alignment horizontal="center"/>
    </xf>
    <xf numFmtId="0" fontId="2" fillId="0" borderId="1" xfId="0" quotePrefix="1" applyFont="1" applyBorder="1" applyAlignment="1" applyProtection="1">
      <alignment horizontal="left"/>
      <protection locked="0"/>
    </xf>
    <xf numFmtId="0" fontId="7" fillId="0" borderId="0" xfId="0" applyFont="1" applyAlignment="1">
      <alignment horizontal="left" wrapText="1"/>
    </xf>
    <xf numFmtId="0" fontId="7" fillId="0" borderId="0" xfId="0" applyFont="1"/>
    <xf numFmtId="0" fontId="9" fillId="0" borderId="0" xfId="0" applyFont="1" applyAlignment="1">
      <alignment horizontal="right" vertical="center"/>
    </xf>
    <xf numFmtId="0" fontId="2" fillId="0" borderId="0" xfId="0" applyFont="1" applyAlignment="1" applyProtection="1">
      <alignment horizontal="left"/>
      <protection locked="0"/>
    </xf>
    <xf numFmtId="0" fontId="14" fillId="0" borderId="0" xfId="0" applyFont="1" applyAlignment="1">
      <alignment horizontal="left"/>
    </xf>
    <xf numFmtId="0" fontId="0" fillId="0" borderId="0" xfId="0" applyAlignment="1">
      <alignment horizontal="left" vertical="center" wrapText="1"/>
    </xf>
    <xf numFmtId="0" fontId="0" fillId="17" borderId="37" xfId="0" applyFill="1" applyBorder="1" applyAlignment="1">
      <alignment horizontal="center" vertical="center" wrapText="1"/>
    </xf>
    <xf numFmtId="0" fontId="0" fillId="17" borderId="38" xfId="0" applyFill="1" applyBorder="1" applyAlignment="1">
      <alignment horizontal="center" vertical="center" wrapText="1"/>
    </xf>
    <xf numFmtId="0" fontId="0" fillId="17" borderId="3" xfId="0" applyFill="1" applyBorder="1" applyAlignment="1">
      <alignment horizontal="center" vertical="center" wrapText="1"/>
    </xf>
    <xf numFmtId="0" fontId="0" fillId="17" borderId="37" xfId="0" applyFill="1" applyBorder="1" applyAlignment="1">
      <alignment horizontal="left" vertical="center" wrapText="1"/>
    </xf>
    <xf numFmtId="0" fontId="0" fillId="17" borderId="38" xfId="0" applyFill="1" applyBorder="1" applyAlignment="1">
      <alignment horizontal="left" vertical="center" wrapText="1"/>
    </xf>
    <xf numFmtId="0" fontId="0" fillId="17" borderId="3" xfId="0" applyFill="1" applyBorder="1" applyAlignment="1">
      <alignment horizontal="left" vertical="center" wrapText="1"/>
    </xf>
    <xf numFmtId="0" fontId="0" fillId="17" borderId="2" xfId="0" applyFill="1" applyBorder="1" applyAlignment="1">
      <alignment horizontal="center" vertical="center" wrapText="1"/>
    </xf>
    <xf numFmtId="0" fontId="1" fillId="0" borderId="0" xfId="0" applyFont="1" applyAlignment="1">
      <alignment horizontal="left" vertical="center" wrapText="1"/>
    </xf>
    <xf numFmtId="0" fontId="1" fillId="0" borderId="0" xfId="0" applyFont="1" applyAlignment="1">
      <alignment horizontal="left" vertical="top" wrapText="1"/>
    </xf>
    <xf numFmtId="0" fontId="18" fillId="0" borderId="0" xfId="0" applyFont="1" applyAlignment="1">
      <alignment horizontal="center" vertical="center"/>
    </xf>
    <xf numFmtId="0" fontId="0" fillId="0" borderId="0" xfId="0" applyAlignment="1">
      <alignment horizontal="left" vertical="center"/>
    </xf>
    <xf numFmtId="0" fontId="0" fillId="0" borderId="0" xfId="0" applyAlignment="1">
      <alignment horizontal="left" wrapText="1"/>
    </xf>
    <xf numFmtId="0" fontId="0" fillId="0" borderId="0" xfId="0" applyAlignment="1">
      <alignment horizontal="left"/>
    </xf>
    <xf numFmtId="0" fontId="0" fillId="0" borderId="11" xfId="0" applyBorder="1" applyAlignment="1">
      <alignment horizontal="center"/>
    </xf>
    <xf numFmtId="0" fontId="0" fillId="0" borderId="12" xfId="0" applyBorder="1" applyAlignment="1">
      <alignment horizontal="center"/>
    </xf>
    <xf numFmtId="164" fontId="0" fillId="0" borderId="0" xfId="0" applyNumberFormat="1" applyAlignment="1">
      <alignment horizontal="center"/>
    </xf>
    <xf numFmtId="14" fontId="0" fillId="3" borderId="2" xfId="0" applyNumberFormat="1" applyFill="1" applyBorder="1" applyAlignment="1" applyProtection="1">
      <alignment horizontal="center"/>
      <protection locked="0"/>
    </xf>
    <xf numFmtId="0" fontId="0" fillId="2" borderId="13" xfId="0" applyFill="1" applyBorder="1" applyAlignment="1">
      <alignment horizontal="center"/>
    </xf>
    <xf numFmtId="1" fontId="0" fillId="3" borderId="2" xfId="0" applyNumberFormat="1" applyFill="1" applyBorder="1" applyAlignment="1" applyProtection="1">
      <alignment horizontal="center"/>
      <protection locked="0"/>
    </xf>
    <xf numFmtId="0" fontId="0" fillId="0" borderId="0" xfId="0" applyAlignment="1">
      <alignment horizontal="right"/>
    </xf>
    <xf numFmtId="164" fontId="0" fillId="3" borderId="2" xfId="0" applyNumberFormat="1" applyFill="1" applyBorder="1" applyAlignment="1" applyProtection="1">
      <alignment horizontal="center"/>
      <protection locked="0"/>
    </xf>
    <xf numFmtId="0" fontId="0" fillId="0" borderId="11" xfId="0" applyBorder="1" applyAlignment="1">
      <alignment horizontal="left"/>
    </xf>
    <xf numFmtId="0" fontId="0" fillId="0" borderId="13" xfId="0" applyBorder="1" applyAlignment="1">
      <alignment horizontal="left"/>
    </xf>
    <xf numFmtId="0" fontId="0" fillId="0" borderId="12" xfId="0" applyBorder="1" applyAlignment="1">
      <alignment horizontal="left"/>
    </xf>
    <xf numFmtId="164" fontId="0" fillId="3" borderId="11" xfId="0" applyNumberFormat="1" applyFill="1" applyBorder="1" applyAlignment="1" applyProtection="1">
      <alignment horizontal="center"/>
      <protection locked="0"/>
    </xf>
    <xf numFmtId="164" fontId="0" fillId="3" borderId="13" xfId="0" applyNumberFormat="1" applyFill="1" applyBorder="1" applyAlignment="1" applyProtection="1">
      <alignment horizontal="center"/>
      <protection locked="0"/>
    </xf>
    <xf numFmtId="164" fontId="0" fillId="3" borderId="12" xfId="0" applyNumberFormat="1" applyFill="1" applyBorder="1" applyAlignment="1" applyProtection="1">
      <alignment horizontal="center"/>
      <protection locked="0"/>
    </xf>
    <xf numFmtId="14" fontId="0" fillId="3" borderId="11" xfId="0" applyNumberFormat="1" applyFill="1" applyBorder="1" applyAlignment="1" applyProtection="1">
      <alignment horizontal="center"/>
      <protection locked="0"/>
    </xf>
    <xf numFmtId="14" fontId="0" fillId="3" borderId="13" xfId="0" applyNumberFormat="1" applyFill="1" applyBorder="1" applyAlignment="1" applyProtection="1">
      <alignment horizontal="center"/>
      <protection locked="0"/>
    </xf>
    <xf numFmtId="14" fontId="0" fillId="3" borderId="12" xfId="0" applyNumberFormat="1" applyFill="1" applyBorder="1" applyAlignment="1" applyProtection="1">
      <alignment horizontal="center"/>
      <protection locked="0"/>
    </xf>
    <xf numFmtId="0" fontId="0" fillId="0" borderId="1" xfId="0" applyBorder="1" applyAlignment="1">
      <alignment horizontal="left"/>
    </xf>
    <xf numFmtId="0" fontId="0" fillId="0" borderId="0" xfId="0" applyAlignment="1" applyProtection="1">
      <alignment horizontal="left" vertical="top"/>
      <protection locked="0"/>
    </xf>
    <xf numFmtId="164" fontId="0" fillId="0" borderId="1" xfId="0" applyNumberFormat="1" applyBorder="1" applyAlignment="1">
      <alignment horizontal="left"/>
    </xf>
    <xf numFmtId="0" fontId="0" fillId="0" borderId="1" xfId="0" applyBorder="1"/>
  </cellXfs>
  <cellStyles count="3">
    <cellStyle name="Hyperlink" xfId="2" builtinId="8"/>
    <cellStyle name="Normal" xfId="0" builtinId="0"/>
    <cellStyle name="Normal 2" xfId="1" xr:uid="{00000000-0005-0000-0000-000002000000}"/>
  </cellStyles>
  <dxfs count="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FF7C80"/>
      <color rgb="FFCC3300"/>
      <color rgb="FF990033"/>
      <color rgb="FFFF0066"/>
      <color rgb="FF0066FF"/>
      <color rgb="FF800000"/>
      <color rgb="FF085C04"/>
      <color rgb="FF053502"/>
      <color rgb="FF9933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a:defRPr/>
            </a:pPr>
            <a:r>
              <a:rPr lang="en-US"/>
              <a:t>Preemption Timeline</a:t>
            </a:r>
          </a:p>
        </c:rich>
      </c:tx>
      <c:layout>
        <c:manualLayout>
          <c:xMode val="edge"/>
          <c:yMode val="edge"/>
          <c:x val="0.3301070376274301"/>
          <c:y val="3.4000026934055856E-2"/>
        </c:manualLayout>
      </c:layout>
      <c:overlay val="0"/>
    </c:title>
    <c:autoTitleDeleted val="0"/>
    <c:plotArea>
      <c:layout>
        <c:manualLayout>
          <c:layoutTarget val="inner"/>
          <c:xMode val="edge"/>
          <c:yMode val="edge"/>
          <c:x val="0.11879246874381966"/>
          <c:y val="0.10705894243418487"/>
          <c:w val="0.62424279768063962"/>
          <c:h val="0.81691115956761517"/>
        </c:manualLayout>
      </c:layout>
      <c:barChart>
        <c:barDir val="bar"/>
        <c:grouping val="stacked"/>
        <c:varyColors val="0"/>
        <c:ser>
          <c:idx val="0"/>
          <c:order val="0"/>
          <c:tx>
            <c:strRef>
              <c:f>PreemptionForm!$A$162</c:f>
              <c:strCache>
                <c:ptCount val="1"/>
                <c:pt idx="0">
                  <c:v>Advance Preemption</c:v>
                </c:pt>
              </c:strCache>
            </c:strRef>
          </c:tx>
          <c:spPr>
            <a:solidFill>
              <a:srgbClr val="92D050"/>
            </a:solidFill>
            <a:ln>
              <a:solidFill>
                <a:schemeClr val="tx1"/>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(PreemptionForm!$D$161,PreemptionForm!$E$161,PreemptionForm!$G$161)</c15:sqref>
                  </c15:fullRef>
                </c:ext>
              </c:extLst>
              <c:f>(PreemptionForm!$D$161,PreemptionForm!$E$161,PreemptionForm!$G$161)</c:f>
              <c:strCache>
                <c:ptCount val="3"/>
                <c:pt idx="0">
                  <c:v>Design Vehicle</c:v>
                </c:pt>
                <c:pt idx="1">
                  <c:v>Traffic Signal</c:v>
                </c:pt>
                <c:pt idx="2">
                  <c:v>RR Signal System</c:v>
                </c:pt>
              </c:strCache>
            </c:strRef>
          </c:cat>
          <c:val>
            <c:numRef>
              <c:extLst>
                <c:ext xmlns:c15="http://schemas.microsoft.com/office/drawing/2012/chart" uri="{02D57815-91ED-43cb-92C2-25804820EDAC}">
                  <c15:fullRef>
                    <c15:sqref>(PreemptionForm!$D$162:$E$162,PreemptionForm!$G$162)</c15:sqref>
                  </c15:fullRef>
                </c:ext>
              </c:extLst>
              <c:f>(PreemptionForm!$D$162:$E$162,PreemptionForm!$G$162)</c:f>
              <c:numCache>
                <c:formatCode>General</c:formatCode>
                <c:ptCount val="3"/>
                <c:pt idx="2" formatCode="0">
                  <c:v>14</c:v>
                </c:pt>
              </c:numCache>
            </c:numRef>
          </c:val>
          <c:extLst>
            <c:ext xmlns:c16="http://schemas.microsoft.com/office/drawing/2014/chart" uri="{C3380CC4-5D6E-409C-BE32-E72D297353CC}">
              <c16:uniqueId val="{0000000D-5C6C-43C9-9897-DFD18D306001}"/>
            </c:ext>
          </c:extLst>
        </c:ser>
        <c:ser>
          <c:idx val="1"/>
          <c:order val="1"/>
          <c:tx>
            <c:strRef>
              <c:f>PreemptionForm!$A$163</c:f>
              <c:strCache>
                <c:ptCount val="1"/>
                <c:pt idx="0">
                  <c:v>Lights Flash</c:v>
                </c:pt>
              </c:strCache>
            </c:strRef>
          </c:tx>
          <c:spPr>
            <a:solidFill>
              <a:schemeClr val="accent2">
                <a:lumMod val="40000"/>
                <a:lumOff val="60000"/>
              </a:schemeClr>
            </a:solidFill>
            <a:ln>
              <a:solidFill>
                <a:schemeClr val="tx1"/>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(PreemptionForm!$D$161,PreemptionForm!$E$161,PreemptionForm!$G$161)</c15:sqref>
                  </c15:fullRef>
                </c:ext>
              </c:extLst>
              <c:f>(PreemptionForm!$D$161,PreemptionForm!$E$161,PreemptionForm!$G$161)</c:f>
              <c:strCache>
                <c:ptCount val="3"/>
                <c:pt idx="0">
                  <c:v>Design Vehicle</c:v>
                </c:pt>
                <c:pt idx="1">
                  <c:v>Traffic Signal</c:v>
                </c:pt>
                <c:pt idx="2">
                  <c:v>RR Signal System</c:v>
                </c:pt>
              </c:strCache>
            </c:strRef>
          </c:cat>
          <c:val>
            <c:numRef>
              <c:extLst>
                <c:ext xmlns:c15="http://schemas.microsoft.com/office/drawing/2012/chart" uri="{02D57815-91ED-43cb-92C2-25804820EDAC}">
                  <c15:fullRef>
                    <c15:sqref>(PreemptionForm!$D$163:$E$163,PreemptionForm!$G$163)</c15:sqref>
                  </c15:fullRef>
                </c:ext>
              </c:extLst>
              <c:f>(PreemptionForm!$D$163:$E$163,PreemptionForm!$G$163)</c:f>
              <c:numCache>
                <c:formatCode>General</c:formatCode>
                <c:ptCount val="3"/>
                <c:pt idx="2" formatCode="0">
                  <c:v>0</c:v>
                </c:pt>
              </c:numCache>
            </c:numRef>
          </c:val>
          <c:extLst>
            <c:ext xmlns:c16="http://schemas.microsoft.com/office/drawing/2014/chart" uri="{C3380CC4-5D6E-409C-BE32-E72D297353CC}">
              <c16:uniqueId val="{0000000E-5C6C-43C9-9897-DFD18D306001}"/>
            </c:ext>
          </c:extLst>
        </c:ser>
        <c:ser>
          <c:idx val="2"/>
          <c:order val="2"/>
          <c:tx>
            <c:strRef>
              <c:f>PreemptionForm!$A$164</c:f>
              <c:strCache>
                <c:ptCount val="1"/>
                <c:pt idx="0">
                  <c:v>Gate Descent</c:v>
                </c:pt>
              </c:strCache>
            </c:strRef>
          </c:tx>
          <c:spPr>
            <a:solidFill>
              <a:srgbClr val="7030A0"/>
            </a:solidFill>
            <a:ln>
              <a:solidFill>
                <a:schemeClr val="tx1"/>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(PreemptionForm!$D$161,PreemptionForm!$E$161,PreemptionForm!$G$161)</c15:sqref>
                  </c15:fullRef>
                </c:ext>
              </c:extLst>
              <c:f>(PreemptionForm!$D$161,PreemptionForm!$E$161,PreemptionForm!$G$161)</c:f>
              <c:strCache>
                <c:ptCount val="3"/>
                <c:pt idx="0">
                  <c:v>Design Vehicle</c:v>
                </c:pt>
                <c:pt idx="1">
                  <c:v>Traffic Signal</c:v>
                </c:pt>
                <c:pt idx="2">
                  <c:v>RR Signal System</c:v>
                </c:pt>
              </c:strCache>
            </c:strRef>
          </c:cat>
          <c:val>
            <c:numRef>
              <c:extLst>
                <c:ext xmlns:c15="http://schemas.microsoft.com/office/drawing/2012/chart" uri="{02D57815-91ED-43cb-92C2-25804820EDAC}">
                  <c15:fullRef>
                    <c15:sqref>(PreemptionForm!$D$164:$E$164,PreemptionForm!$G$164)</c15:sqref>
                  </c15:fullRef>
                </c:ext>
              </c:extLst>
              <c:f>(PreemptionForm!$D$164:$E$164,PreemptionForm!$G$164)</c:f>
              <c:numCache>
                <c:formatCode>General</c:formatCode>
                <c:ptCount val="3"/>
                <c:pt idx="2" formatCode="0">
                  <c:v>12</c:v>
                </c:pt>
              </c:numCache>
            </c:numRef>
          </c:val>
          <c:extLst>
            <c:ext xmlns:c16="http://schemas.microsoft.com/office/drawing/2014/chart" uri="{C3380CC4-5D6E-409C-BE32-E72D297353CC}">
              <c16:uniqueId val="{0000000F-5C6C-43C9-9897-DFD18D306001}"/>
            </c:ext>
          </c:extLst>
        </c:ser>
        <c:ser>
          <c:idx val="3"/>
          <c:order val="3"/>
          <c:tx>
            <c:strRef>
              <c:f>PreemptionForm!$A$165</c:f>
              <c:strCache>
                <c:ptCount val="1"/>
                <c:pt idx="0">
                  <c:v>Gate Down</c:v>
                </c:pt>
              </c:strCache>
            </c:strRef>
          </c:tx>
          <c:spPr>
            <a:solidFill>
              <a:srgbClr val="00B0F0"/>
            </a:solidFill>
            <a:ln>
              <a:solidFill>
                <a:schemeClr val="tx1"/>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(PreemptionForm!$D$161,PreemptionForm!$E$161,PreemptionForm!$G$161)</c15:sqref>
                  </c15:fullRef>
                </c:ext>
              </c:extLst>
              <c:f>(PreemptionForm!$D$161,PreemptionForm!$E$161,PreemptionForm!$G$161)</c:f>
              <c:strCache>
                <c:ptCount val="3"/>
                <c:pt idx="0">
                  <c:v>Design Vehicle</c:v>
                </c:pt>
                <c:pt idx="1">
                  <c:v>Traffic Signal</c:v>
                </c:pt>
                <c:pt idx="2">
                  <c:v>RR Signal System</c:v>
                </c:pt>
              </c:strCache>
            </c:strRef>
          </c:cat>
          <c:val>
            <c:numRef>
              <c:extLst>
                <c:ext xmlns:c15="http://schemas.microsoft.com/office/drawing/2012/chart" uri="{02D57815-91ED-43cb-92C2-25804820EDAC}">
                  <c15:fullRef>
                    <c15:sqref>(PreemptionForm!$D$165:$E$165,PreemptionForm!$G$165)</c15:sqref>
                  </c15:fullRef>
                </c:ext>
              </c:extLst>
              <c:f>(PreemptionForm!$D$165:$E$165,PreemptionForm!$G$165)</c:f>
              <c:numCache>
                <c:formatCode>General</c:formatCode>
                <c:ptCount val="3"/>
                <c:pt idx="2" formatCode="0">
                  <c:v>8</c:v>
                </c:pt>
              </c:numCache>
            </c:numRef>
          </c:val>
          <c:extLst>
            <c:ext xmlns:c16="http://schemas.microsoft.com/office/drawing/2014/chart" uri="{C3380CC4-5D6E-409C-BE32-E72D297353CC}">
              <c16:uniqueId val="{0000001D-5C6C-43C9-9897-DFD18D306001}"/>
            </c:ext>
          </c:extLst>
        </c:ser>
        <c:ser>
          <c:idx val="4"/>
          <c:order val="4"/>
          <c:tx>
            <c:strRef>
              <c:f>PreemptionForm!$A$166</c:f>
              <c:strCache>
                <c:ptCount val="1"/>
                <c:pt idx="0">
                  <c:v>Preempt Verification &amp; Response Time</c:v>
                </c:pt>
              </c:strCache>
            </c:strRef>
          </c:tx>
          <c:spPr>
            <a:solidFill>
              <a:schemeClr val="bg2">
                <a:lumMod val="50000"/>
              </a:schemeClr>
            </a:solidFill>
            <a:ln>
              <a:solidFill>
                <a:schemeClr val="tx1"/>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(PreemptionForm!$D$161,PreemptionForm!$E$161,PreemptionForm!$G$161)</c15:sqref>
                  </c15:fullRef>
                </c:ext>
              </c:extLst>
              <c:f>(PreemptionForm!$D$161,PreemptionForm!$E$161,PreemptionForm!$G$161)</c:f>
              <c:strCache>
                <c:ptCount val="3"/>
                <c:pt idx="0">
                  <c:v>Design Vehicle</c:v>
                </c:pt>
                <c:pt idx="1">
                  <c:v>Traffic Signal</c:v>
                </c:pt>
                <c:pt idx="2">
                  <c:v>RR Signal System</c:v>
                </c:pt>
              </c:strCache>
            </c:strRef>
          </c:cat>
          <c:val>
            <c:numRef>
              <c:extLst>
                <c:ext xmlns:c15="http://schemas.microsoft.com/office/drawing/2012/chart" uri="{02D57815-91ED-43cb-92C2-25804820EDAC}">
                  <c15:fullRef>
                    <c15:sqref>(PreemptionForm!$D$166:$E$166,PreemptionForm!$G$166)</c15:sqref>
                  </c15:fullRef>
                </c:ext>
              </c:extLst>
              <c:f>(PreemptionForm!$D$166:$E$166,PreemptionForm!$G$166)</c:f>
              <c:numCache>
                <c:formatCode>0</c:formatCode>
                <c:ptCount val="3"/>
                <c:pt idx="1">
                  <c:v>0</c:v>
                </c:pt>
              </c:numCache>
            </c:numRef>
          </c:val>
          <c:extLst>
            <c:ext xmlns:c16="http://schemas.microsoft.com/office/drawing/2014/chart" uri="{C3380CC4-5D6E-409C-BE32-E72D297353CC}">
              <c16:uniqueId val="{0000001E-5C6C-43C9-9897-DFD18D306001}"/>
            </c:ext>
          </c:extLst>
        </c:ser>
        <c:ser>
          <c:idx val="5"/>
          <c:order val="5"/>
          <c:tx>
            <c:strRef>
              <c:f>PreemptionForm!$A$167</c:f>
              <c:strCache>
                <c:ptCount val="1"/>
                <c:pt idx="0">
                  <c:v>Walk</c:v>
                </c:pt>
              </c:strCache>
            </c:strRef>
          </c:tx>
          <c:spPr>
            <a:solidFill>
              <a:schemeClr val="accent5">
                <a:lumMod val="75000"/>
              </a:schemeClr>
            </a:solidFill>
            <a:ln>
              <a:solidFill>
                <a:schemeClr val="tx1"/>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(PreemptionForm!$D$161,PreemptionForm!$E$161,PreemptionForm!$G$161)</c15:sqref>
                  </c15:fullRef>
                </c:ext>
              </c:extLst>
              <c:f>(PreemptionForm!$D$161,PreemptionForm!$E$161,PreemptionForm!$G$161)</c:f>
              <c:strCache>
                <c:ptCount val="3"/>
                <c:pt idx="0">
                  <c:v>Design Vehicle</c:v>
                </c:pt>
                <c:pt idx="1">
                  <c:v>Traffic Signal</c:v>
                </c:pt>
                <c:pt idx="2">
                  <c:v>RR Signal System</c:v>
                </c:pt>
              </c:strCache>
            </c:strRef>
          </c:cat>
          <c:val>
            <c:numRef>
              <c:extLst>
                <c:ext xmlns:c15="http://schemas.microsoft.com/office/drawing/2012/chart" uri="{02D57815-91ED-43cb-92C2-25804820EDAC}">
                  <c15:fullRef>
                    <c15:sqref>(PreemptionForm!$D$167:$E$167,PreemptionForm!$G$167)</c15:sqref>
                  </c15:fullRef>
                </c:ext>
              </c:extLst>
              <c:f>(PreemptionForm!$D$167:$E$167,PreemptionForm!$G$167)</c:f>
              <c:numCache>
                <c:formatCode>0</c:formatCode>
                <c:ptCount val="3"/>
                <c:pt idx="1">
                  <c:v>0</c:v>
                </c:pt>
              </c:numCache>
            </c:numRef>
          </c:val>
          <c:extLst>
            <c:ext xmlns:c16="http://schemas.microsoft.com/office/drawing/2014/chart" uri="{C3380CC4-5D6E-409C-BE32-E72D297353CC}">
              <c16:uniqueId val="{0000001F-5C6C-43C9-9897-DFD18D306001}"/>
            </c:ext>
          </c:extLst>
        </c:ser>
        <c:ser>
          <c:idx val="6"/>
          <c:order val="6"/>
          <c:tx>
            <c:strRef>
              <c:f>PreemptionForm!$A$168</c:f>
              <c:strCache>
                <c:ptCount val="1"/>
                <c:pt idx="0">
                  <c:v>Ped Clearance</c:v>
                </c:pt>
              </c:strCache>
            </c:strRef>
          </c:tx>
          <c:spPr>
            <a:solidFill>
              <a:schemeClr val="accent6">
                <a:lumMod val="75000"/>
              </a:schemeClr>
            </a:solidFill>
            <a:ln>
              <a:solidFill>
                <a:schemeClr val="tx1"/>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(PreemptionForm!$D$161,PreemptionForm!$E$161,PreemptionForm!$G$161)</c15:sqref>
                  </c15:fullRef>
                </c:ext>
              </c:extLst>
              <c:f>(PreemptionForm!$D$161,PreemptionForm!$E$161,PreemptionForm!$G$161)</c:f>
              <c:strCache>
                <c:ptCount val="3"/>
                <c:pt idx="0">
                  <c:v>Design Vehicle</c:v>
                </c:pt>
                <c:pt idx="1">
                  <c:v>Traffic Signal</c:v>
                </c:pt>
                <c:pt idx="2">
                  <c:v>RR Signal System</c:v>
                </c:pt>
              </c:strCache>
            </c:strRef>
          </c:cat>
          <c:val>
            <c:numRef>
              <c:extLst>
                <c:ext xmlns:c15="http://schemas.microsoft.com/office/drawing/2012/chart" uri="{02D57815-91ED-43cb-92C2-25804820EDAC}">
                  <c15:fullRef>
                    <c15:sqref>(PreemptionForm!$D$168:$E$168,PreemptionForm!$G$168)</c15:sqref>
                  </c15:fullRef>
                </c:ext>
              </c:extLst>
              <c:f>(PreemptionForm!$D$168:$E$168,PreemptionForm!$G$168)</c:f>
              <c:numCache>
                <c:formatCode>0</c:formatCode>
                <c:ptCount val="3"/>
                <c:pt idx="1">
                  <c:v>0</c:v>
                </c:pt>
              </c:numCache>
            </c:numRef>
          </c:val>
          <c:extLst>
            <c:ext xmlns:c16="http://schemas.microsoft.com/office/drawing/2014/chart" uri="{C3380CC4-5D6E-409C-BE32-E72D297353CC}">
              <c16:uniqueId val="{00000020-5C6C-43C9-9897-DFD18D306001}"/>
            </c:ext>
          </c:extLst>
        </c:ser>
        <c:ser>
          <c:idx val="7"/>
          <c:order val="7"/>
          <c:tx>
            <c:strRef>
              <c:f>PreemptionForm!$A$169</c:f>
              <c:strCache>
                <c:ptCount val="1"/>
                <c:pt idx="0">
                  <c:v>Additional RWTT***</c:v>
                </c:pt>
              </c:strCache>
            </c:strRef>
          </c:tx>
          <c:spPr>
            <a:gradFill>
              <a:gsLst>
                <a:gs pos="0">
                  <a:srgbClr val="FF0000"/>
                </a:gs>
                <a:gs pos="50000">
                  <a:srgbClr val="FF0000"/>
                </a:gs>
                <a:gs pos="51000">
                  <a:schemeClr val="accent1">
                    <a:lumMod val="45000"/>
                    <a:lumOff val="55000"/>
                  </a:schemeClr>
                </a:gs>
                <a:gs pos="100000">
                  <a:schemeClr val="accent1">
                    <a:lumMod val="30000"/>
                    <a:lumOff val="70000"/>
                  </a:schemeClr>
                </a:gs>
              </a:gsLst>
              <a:lin ang="1200000" scaled="0"/>
            </a:gradFill>
            <a:ln>
              <a:solidFill>
                <a:schemeClr val="tx1"/>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(PreemptionForm!$D$161,PreemptionForm!$E$161,PreemptionForm!$G$161)</c15:sqref>
                  </c15:fullRef>
                </c:ext>
              </c:extLst>
              <c:f>(PreemptionForm!$D$161,PreemptionForm!$E$161,PreemptionForm!$G$161)</c:f>
              <c:strCache>
                <c:ptCount val="3"/>
                <c:pt idx="0">
                  <c:v>Design Vehicle</c:v>
                </c:pt>
                <c:pt idx="1">
                  <c:v>Traffic Signal</c:v>
                </c:pt>
                <c:pt idx="2">
                  <c:v>RR Signal System</c:v>
                </c:pt>
              </c:strCache>
            </c:strRef>
          </c:cat>
          <c:val>
            <c:numRef>
              <c:extLst>
                <c:ext xmlns:c15="http://schemas.microsoft.com/office/drawing/2012/chart" uri="{02D57815-91ED-43cb-92C2-25804820EDAC}">
                  <c15:fullRef>
                    <c15:sqref>(PreemptionForm!$D$169:$E$169,PreemptionForm!$G$169)</c15:sqref>
                  </c15:fullRef>
                </c:ext>
              </c:extLst>
              <c:f>(PreemptionForm!$D$169:$E$169,PreemptionForm!$G$169)</c:f>
              <c:numCache>
                <c:formatCode>0</c:formatCode>
                <c:ptCount val="3"/>
                <c:pt idx="1">
                  <c:v>16</c:v>
                </c:pt>
              </c:numCache>
            </c:numRef>
          </c:val>
          <c:extLst>
            <c:ext xmlns:c16="http://schemas.microsoft.com/office/drawing/2014/chart" uri="{C3380CC4-5D6E-409C-BE32-E72D297353CC}">
              <c16:uniqueId val="{00000021-5C6C-43C9-9897-DFD18D306001}"/>
            </c:ext>
          </c:extLst>
        </c:ser>
        <c:ser>
          <c:idx val="8"/>
          <c:order val="8"/>
          <c:tx>
            <c:strRef>
              <c:f>PreemptionForm!$A$170</c:f>
              <c:strCache>
                <c:ptCount val="1"/>
                <c:pt idx="0">
                  <c:v>Min Green</c:v>
                </c:pt>
              </c:strCache>
            </c:strRef>
          </c:tx>
          <c:spPr>
            <a:solidFill>
              <a:schemeClr val="accent3">
                <a:lumMod val="50000"/>
              </a:schemeClr>
            </a:solidFill>
            <a:ln>
              <a:solidFill>
                <a:schemeClr val="tx1"/>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(PreemptionForm!$D$161,PreemptionForm!$E$161,PreemptionForm!$G$161)</c15:sqref>
                  </c15:fullRef>
                </c:ext>
              </c:extLst>
              <c:f>(PreemptionForm!$D$161,PreemptionForm!$E$161,PreemptionForm!$G$161)</c:f>
              <c:strCache>
                <c:ptCount val="3"/>
                <c:pt idx="0">
                  <c:v>Design Vehicle</c:v>
                </c:pt>
                <c:pt idx="1">
                  <c:v>Traffic Signal</c:v>
                </c:pt>
                <c:pt idx="2">
                  <c:v>RR Signal System</c:v>
                </c:pt>
              </c:strCache>
            </c:strRef>
          </c:cat>
          <c:val>
            <c:numRef>
              <c:extLst>
                <c:ext xmlns:c15="http://schemas.microsoft.com/office/drawing/2012/chart" uri="{02D57815-91ED-43cb-92C2-25804820EDAC}">
                  <c15:fullRef>
                    <c15:sqref>(PreemptionForm!$D$170:$E$170,PreemptionForm!$G$170)</c15:sqref>
                  </c15:fullRef>
                </c:ext>
              </c:extLst>
              <c:f>(PreemptionForm!$D$170:$E$170,PreemptionForm!$G$170)</c:f>
              <c:numCache>
                <c:formatCode>0</c:formatCode>
                <c:ptCount val="3"/>
                <c:pt idx="1">
                  <c:v>0</c:v>
                </c:pt>
              </c:numCache>
            </c:numRef>
          </c:val>
          <c:extLst>
            <c:ext xmlns:c16="http://schemas.microsoft.com/office/drawing/2014/chart" uri="{C3380CC4-5D6E-409C-BE32-E72D297353CC}">
              <c16:uniqueId val="{00000022-5C6C-43C9-9897-DFD18D306001}"/>
            </c:ext>
          </c:extLst>
        </c:ser>
        <c:ser>
          <c:idx val="9"/>
          <c:order val="9"/>
          <c:tx>
            <c:strRef>
              <c:f>PreemptionForm!$A$171</c:f>
              <c:strCache>
                <c:ptCount val="1"/>
                <c:pt idx="0">
                  <c:v>Yellow</c:v>
                </c:pt>
              </c:strCache>
            </c:strRef>
          </c:tx>
          <c:spPr>
            <a:solidFill>
              <a:srgbClr val="FFFF00"/>
            </a:solidFill>
            <a:ln>
              <a:solidFill>
                <a:schemeClr val="tx1"/>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(PreemptionForm!$D$161,PreemptionForm!$E$161,PreemptionForm!$G$161)</c15:sqref>
                  </c15:fullRef>
                </c:ext>
              </c:extLst>
              <c:f>(PreemptionForm!$D$161,PreemptionForm!$E$161,PreemptionForm!$G$161)</c:f>
              <c:strCache>
                <c:ptCount val="3"/>
                <c:pt idx="0">
                  <c:v>Design Vehicle</c:v>
                </c:pt>
                <c:pt idx="1">
                  <c:v>Traffic Signal</c:v>
                </c:pt>
                <c:pt idx="2">
                  <c:v>RR Signal System</c:v>
                </c:pt>
              </c:strCache>
            </c:strRef>
          </c:cat>
          <c:val>
            <c:numRef>
              <c:extLst>
                <c:ext xmlns:c15="http://schemas.microsoft.com/office/drawing/2012/chart" uri="{02D57815-91ED-43cb-92C2-25804820EDAC}">
                  <c15:fullRef>
                    <c15:sqref>(PreemptionForm!$D$171:$E$171,PreemptionForm!$G$171)</c15:sqref>
                  </c15:fullRef>
                </c:ext>
              </c:extLst>
              <c:f>(PreemptionForm!$D$171:$E$171,PreemptionForm!$G$171)</c:f>
              <c:numCache>
                <c:formatCode>0</c:formatCode>
                <c:ptCount val="3"/>
                <c:pt idx="1">
                  <c:v>0</c:v>
                </c:pt>
              </c:numCache>
            </c:numRef>
          </c:val>
          <c:extLst>
            <c:ext xmlns:c16="http://schemas.microsoft.com/office/drawing/2014/chart" uri="{C3380CC4-5D6E-409C-BE32-E72D297353CC}">
              <c16:uniqueId val="{00000023-5C6C-43C9-9897-DFD18D306001}"/>
            </c:ext>
          </c:extLst>
        </c:ser>
        <c:ser>
          <c:idx val="10"/>
          <c:order val="10"/>
          <c:tx>
            <c:strRef>
              <c:f>PreemptionForm!$A$172</c:f>
              <c:strCache>
                <c:ptCount val="1"/>
                <c:pt idx="0">
                  <c:v>Red Clearance</c:v>
                </c:pt>
              </c:strCache>
            </c:strRef>
          </c:tx>
          <c:spPr>
            <a:solidFill>
              <a:srgbClr val="FF0000"/>
            </a:solidFill>
          </c:spPr>
          <c:invertIfNegative val="0"/>
          <c:dPt>
            <c:idx val="1"/>
            <c:invertIfNegative val="0"/>
            <c:bubble3D val="0"/>
            <c:spPr>
              <a:solidFill>
                <a:srgbClr val="FF0000"/>
              </a:solidFill>
              <a:ln>
                <a:solidFill>
                  <a:schemeClr val="tx1"/>
                </a:solidFill>
              </a:ln>
            </c:spPr>
            <c:extLst>
              <c:ext xmlns:c16="http://schemas.microsoft.com/office/drawing/2014/chart" uri="{C3380CC4-5D6E-409C-BE32-E72D297353CC}">
                <c16:uniqueId val="{00000000-8A04-46B8-ABEC-F9D20D2DBFD7}"/>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(PreemptionForm!$D$161,PreemptionForm!$E$161,PreemptionForm!$G$161)</c15:sqref>
                  </c15:fullRef>
                </c:ext>
              </c:extLst>
              <c:f>(PreemptionForm!$D$161,PreemptionForm!$E$161,PreemptionForm!$G$161)</c:f>
              <c:strCache>
                <c:ptCount val="3"/>
                <c:pt idx="0">
                  <c:v>Design Vehicle</c:v>
                </c:pt>
                <c:pt idx="1">
                  <c:v>Traffic Signal</c:v>
                </c:pt>
                <c:pt idx="2">
                  <c:v>RR Signal System</c:v>
                </c:pt>
              </c:strCache>
            </c:strRef>
          </c:cat>
          <c:val>
            <c:numRef>
              <c:extLst>
                <c:ext xmlns:c15="http://schemas.microsoft.com/office/drawing/2012/chart" uri="{02D57815-91ED-43cb-92C2-25804820EDAC}">
                  <c15:fullRef>
                    <c15:sqref>(PreemptionForm!$D$172:$E$172,PreemptionForm!$G$172)</c15:sqref>
                  </c15:fullRef>
                </c:ext>
              </c:extLst>
              <c:f>(PreemptionForm!$D$172:$E$172,PreemptionForm!$G$172)</c:f>
              <c:numCache>
                <c:formatCode>0</c:formatCode>
                <c:ptCount val="3"/>
                <c:pt idx="1">
                  <c:v>0</c:v>
                </c:pt>
              </c:numCache>
            </c:numRef>
          </c:val>
          <c:extLst>
            <c:ext xmlns:c16="http://schemas.microsoft.com/office/drawing/2014/chart" uri="{C3380CC4-5D6E-409C-BE32-E72D297353CC}">
              <c16:uniqueId val="{00000024-5C6C-43C9-9897-DFD18D306001}"/>
            </c:ext>
          </c:extLst>
        </c:ser>
        <c:ser>
          <c:idx val="11"/>
          <c:order val="11"/>
          <c:tx>
            <c:strRef>
              <c:f>PreemptionForm!$A$173</c:f>
              <c:strCache>
                <c:ptCount val="1"/>
                <c:pt idx="0">
                  <c:v>Track Clear Green</c:v>
                </c:pt>
              </c:strCache>
            </c:strRef>
          </c:tx>
          <c:spPr>
            <a:solidFill>
              <a:srgbClr val="00B050"/>
            </a:solidFill>
            <a:ln>
              <a:solidFill>
                <a:schemeClr val="tx1"/>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(PreemptionForm!$D$161,PreemptionForm!$E$161,PreemptionForm!$G$161)</c15:sqref>
                  </c15:fullRef>
                </c:ext>
              </c:extLst>
              <c:f>(PreemptionForm!$D$161,PreemptionForm!$E$161,PreemptionForm!$G$161)</c:f>
              <c:strCache>
                <c:ptCount val="3"/>
                <c:pt idx="0">
                  <c:v>Design Vehicle</c:v>
                </c:pt>
                <c:pt idx="1">
                  <c:v>Traffic Signal</c:v>
                </c:pt>
                <c:pt idx="2">
                  <c:v>RR Signal System</c:v>
                </c:pt>
              </c:strCache>
            </c:strRef>
          </c:cat>
          <c:val>
            <c:numRef>
              <c:extLst>
                <c:ext xmlns:c15="http://schemas.microsoft.com/office/drawing/2012/chart" uri="{02D57815-91ED-43cb-92C2-25804820EDAC}">
                  <c15:fullRef>
                    <c15:sqref>(PreemptionForm!$D$173:$E$173,PreemptionForm!$G$173)</c15:sqref>
                  </c15:fullRef>
                </c:ext>
              </c:extLst>
              <c:f>(PreemptionForm!$D$173:$E$173,PreemptionForm!$G$173)</c:f>
              <c:numCache>
                <c:formatCode>0</c:formatCode>
                <c:ptCount val="3"/>
                <c:pt idx="1">
                  <c:v>14</c:v>
                </c:pt>
              </c:numCache>
            </c:numRef>
          </c:val>
          <c:extLst>
            <c:ext xmlns:c16="http://schemas.microsoft.com/office/drawing/2014/chart" uri="{C3380CC4-5D6E-409C-BE32-E72D297353CC}">
              <c16:uniqueId val="{00000025-5C6C-43C9-9897-DFD18D306001}"/>
            </c:ext>
          </c:extLst>
        </c:ser>
        <c:ser>
          <c:idx val="16"/>
          <c:order val="12"/>
          <c:tx>
            <c:strRef>
              <c:f>PreemptionForm!$A$174</c:f>
              <c:strCache>
                <c:ptCount val="1"/>
                <c:pt idx="0">
                  <c:v>Extended Red Phase</c:v>
                </c:pt>
              </c:strCache>
            </c:strRef>
          </c:tx>
          <c:spPr>
            <a:solidFill>
              <a:srgbClr val="FF7C80"/>
            </a:solidFill>
            <a:ln>
              <a:solidFill>
                <a:schemeClr val="tx1"/>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(PreemptionForm!$D$161,PreemptionForm!$E$161,PreemptionForm!$G$161)</c15:sqref>
                  </c15:fullRef>
                </c:ext>
              </c:extLst>
              <c:f>(PreemptionForm!$D$161,PreemptionForm!$E$161,PreemptionForm!$G$161)</c:f>
              <c:strCache>
                <c:ptCount val="3"/>
                <c:pt idx="0">
                  <c:v>Design Vehicle</c:v>
                </c:pt>
                <c:pt idx="1">
                  <c:v>Traffic Signal</c:v>
                </c:pt>
                <c:pt idx="2">
                  <c:v>RR Signal System</c:v>
                </c:pt>
              </c:strCache>
            </c:strRef>
          </c:cat>
          <c:val>
            <c:numRef>
              <c:extLst>
                <c:ext xmlns:c15="http://schemas.microsoft.com/office/drawing/2012/chart" uri="{02D57815-91ED-43cb-92C2-25804820EDAC}">
                  <c15:fullRef>
                    <c15:sqref>PreemptionForm!$D$174:$G$174</c15:sqref>
                  </c15:fullRef>
                </c:ext>
              </c:extLst>
              <c:f>PreemptionForm!$D$174:$F$174</c:f>
              <c:numCache>
                <c:formatCode>0</c:formatCode>
                <c:ptCount val="3"/>
                <c:pt idx="1">
                  <c:v>0</c:v>
                </c:pt>
              </c:numCache>
            </c:numRef>
          </c:val>
          <c:extLst>
            <c:ext xmlns:c16="http://schemas.microsoft.com/office/drawing/2014/chart" uri="{C3380CC4-5D6E-409C-BE32-E72D297353CC}">
              <c16:uniqueId val="{0000002F-BE6A-48E9-9E0A-D67EC02A4E47}"/>
            </c:ext>
          </c:extLst>
        </c:ser>
        <c:ser>
          <c:idx val="12"/>
          <c:order val="13"/>
          <c:tx>
            <c:strRef>
              <c:f>PreemptionForm!$A$175</c:f>
              <c:strCache>
                <c:ptCount val="1"/>
                <c:pt idx="0">
                  <c:v>Separation</c:v>
                </c:pt>
              </c:strCache>
            </c:strRef>
          </c:tx>
          <c:spPr>
            <a:solidFill>
              <a:srgbClr val="0066FF"/>
            </a:solidFill>
            <a:ln>
              <a:solidFill>
                <a:schemeClr val="tx1"/>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(PreemptionForm!$D$161,PreemptionForm!$E$161,PreemptionForm!$G$161)</c15:sqref>
                  </c15:fullRef>
                </c:ext>
              </c:extLst>
              <c:f>(PreemptionForm!$D$161,PreemptionForm!$E$161,PreemptionForm!$G$161)</c:f>
              <c:strCache>
                <c:ptCount val="3"/>
                <c:pt idx="0">
                  <c:v>Design Vehicle</c:v>
                </c:pt>
                <c:pt idx="1">
                  <c:v>Traffic Signal</c:v>
                </c:pt>
                <c:pt idx="2">
                  <c:v>RR Signal System</c:v>
                </c:pt>
              </c:strCache>
            </c:strRef>
          </c:cat>
          <c:val>
            <c:numRef>
              <c:extLst>
                <c:ext xmlns:c15="http://schemas.microsoft.com/office/drawing/2012/chart" uri="{02D57815-91ED-43cb-92C2-25804820EDAC}">
                  <c15:fullRef>
                    <c15:sqref>(PreemptionForm!$D$175:$E$175,PreemptionForm!$G$175)</c15:sqref>
                  </c15:fullRef>
                </c:ext>
              </c:extLst>
              <c:f>(PreemptionForm!$D$175:$E$175,PreemptionForm!$G$175)</c:f>
              <c:numCache>
                <c:formatCode>0</c:formatCode>
                <c:ptCount val="3"/>
                <c:pt idx="1">
                  <c:v>4</c:v>
                </c:pt>
              </c:numCache>
            </c:numRef>
          </c:val>
          <c:extLst>
            <c:ext xmlns:c16="http://schemas.microsoft.com/office/drawing/2014/chart" uri="{C3380CC4-5D6E-409C-BE32-E72D297353CC}">
              <c16:uniqueId val="{00000026-5C6C-43C9-9897-DFD18D306001}"/>
            </c:ext>
          </c:extLst>
        </c:ser>
        <c:ser>
          <c:idx val="13"/>
          <c:order val="14"/>
          <c:tx>
            <c:strRef>
              <c:f>PreemptionForm!$A$176</c:f>
              <c:strCache>
                <c:ptCount val="1"/>
                <c:pt idx="0">
                  <c:v>Right of Way Transfer Time</c:v>
                </c:pt>
              </c:strCache>
            </c:strRef>
          </c:tx>
          <c:spPr>
            <a:solidFill>
              <a:schemeClr val="accent2">
                <a:lumMod val="75000"/>
              </a:schemeClr>
            </a:solidFill>
            <a:ln>
              <a:solidFill>
                <a:schemeClr val="tx1"/>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(PreemptionForm!$D$161,PreemptionForm!$E$161,PreemptionForm!$G$161)</c15:sqref>
                  </c15:fullRef>
                </c:ext>
              </c:extLst>
              <c:f>(PreemptionForm!$D$161,PreemptionForm!$E$161,PreemptionForm!$G$161)</c:f>
              <c:strCache>
                <c:ptCount val="3"/>
                <c:pt idx="0">
                  <c:v>Design Vehicle</c:v>
                </c:pt>
                <c:pt idx="1">
                  <c:v>Traffic Signal</c:v>
                </c:pt>
                <c:pt idx="2">
                  <c:v>RR Signal System</c:v>
                </c:pt>
              </c:strCache>
            </c:strRef>
          </c:cat>
          <c:val>
            <c:numRef>
              <c:extLst>
                <c:ext xmlns:c15="http://schemas.microsoft.com/office/drawing/2012/chart" uri="{02D57815-91ED-43cb-92C2-25804820EDAC}">
                  <c15:fullRef>
                    <c15:sqref>(PreemptionForm!$D$176:$E$176,PreemptionForm!$G$176)</c15:sqref>
                  </c15:fullRef>
                </c:ext>
              </c:extLst>
              <c:f>(PreemptionForm!$D$176:$E$176,PreemptionForm!$G$176)</c:f>
              <c:numCache>
                <c:formatCode>0</c:formatCode>
                <c:ptCount val="3"/>
                <c:pt idx="0">
                  <c:v>16</c:v>
                </c:pt>
              </c:numCache>
            </c:numRef>
          </c:val>
          <c:extLst>
            <c:ext xmlns:c16="http://schemas.microsoft.com/office/drawing/2014/chart" uri="{C3380CC4-5D6E-409C-BE32-E72D297353CC}">
              <c16:uniqueId val="{00000027-5C6C-43C9-9897-DFD18D306001}"/>
            </c:ext>
          </c:extLst>
        </c:ser>
        <c:ser>
          <c:idx val="14"/>
          <c:order val="15"/>
          <c:tx>
            <c:strRef>
              <c:f>PreemptionForm!$A$177</c:f>
              <c:strCache>
                <c:ptCount val="1"/>
                <c:pt idx="0">
                  <c:v>Queue Clearance</c:v>
                </c:pt>
              </c:strCache>
            </c:strRef>
          </c:tx>
          <c:spPr>
            <a:solidFill>
              <a:schemeClr val="accent5">
                <a:lumMod val="60000"/>
                <a:lumOff val="40000"/>
              </a:schemeClr>
            </a:solidFill>
            <a:ln>
              <a:solidFill>
                <a:schemeClr val="tx1"/>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(PreemptionForm!$D$161,PreemptionForm!$E$161,PreemptionForm!$G$161)</c15:sqref>
                  </c15:fullRef>
                </c:ext>
              </c:extLst>
              <c:f>(PreemptionForm!$D$161,PreemptionForm!$E$161,PreemptionForm!$G$161)</c:f>
              <c:strCache>
                <c:ptCount val="3"/>
                <c:pt idx="0">
                  <c:v>Design Vehicle</c:v>
                </c:pt>
                <c:pt idx="1">
                  <c:v>Traffic Signal</c:v>
                </c:pt>
                <c:pt idx="2">
                  <c:v>RR Signal System</c:v>
                </c:pt>
              </c:strCache>
            </c:strRef>
          </c:cat>
          <c:val>
            <c:numRef>
              <c:extLst>
                <c:ext xmlns:c15="http://schemas.microsoft.com/office/drawing/2012/chart" uri="{02D57815-91ED-43cb-92C2-25804820EDAC}">
                  <c15:fullRef>
                    <c15:sqref>(PreemptionForm!$D$177:$E$177,PreemptionForm!$G$177)</c15:sqref>
                  </c15:fullRef>
                </c:ext>
              </c:extLst>
              <c:f>(PreemptionForm!$D$177:$E$177,PreemptionForm!$G$177)</c:f>
              <c:numCache>
                <c:formatCode>0.00</c:formatCode>
                <c:ptCount val="3"/>
                <c:pt idx="0" formatCode="0">
                  <c:v>14</c:v>
                </c:pt>
              </c:numCache>
            </c:numRef>
          </c:val>
          <c:extLst>
            <c:ext xmlns:c16="http://schemas.microsoft.com/office/drawing/2014/chart" uri="{C3380CC4-5D6E-409C-BE32-E72D297353CC}">
              <c16:uniqueId val="{00000028-5C6C-43C9-9897-DFD18D306001}"/>
            </c:ext>
          </c:extLst>
        </c:ser>
        <c:ser>
          <c:idx val="17"/>
          <c:order val="16"/>
          <c:tx>
            <c:strRef>
              <c:f>PreemptionForm!$A$178</c:f>
              <c:strCache>
                <c:ptCount val="1"/>
                <c:pt idx="0">
                  <c:v>Extended Red Phase</c:v>
                </c:pt>
              </c:strCache>
            </c:strRef>
          </c:tx>
          <c:spPr>
            <a:solidFill>
              <a:srgbClr val="FF7C80"/>
            </a:solidFill>
            <a:ln>
              <a:solidFill>
                <a:schemeClr val="tx1"/>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3"/>
              <c:pt idx="0">
                <c:v>Design Vehicle</c:v>
              </c:pt>
              <c:pt idx="1">
                <c:v>Traffic Signal</c:v>
              </c:pt>
              <c:pt idx="2">
                <c:v>RR Signal System</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PreemptionForm!$D$178:$G$178</c15:sqref>
                  </c15:fullRef>
                </c:ext>
              </c:extLst>
              <c:f>PreemptionForm!$D$178:$F$178</c:f>
              <c:numCache>
                <c:formatCode>0.00</c:formatCode>
                <c:ptCount val="3"/>
                <c:pt idx="0" formatCode="0">
                  <c:v>0</c:v>
                </c:pt>
              </c:numCache>
            </c:numRef>
          </c:val>
          <c:extLst>
            <c:ext xmlns:c16="http://schemas.microsoft.com/office/drawing/2014/chart" uri="{C3380CC4-5D6E-409C-BE32-E72D297353CC}">
              <c16:uniqueId val="{00000032-BE6A-48E9-9E0A-D67EC02A4E47}"/>
            </c:ext>
          </c:extLst>
        </c:ser>
        <c:ser>
          <c:idx val="15"/>
          <c:order val="17"/>
          <c:tx>
            <c:strRef>
              <c:f>PreemptionForm!$A$179</c:f>
              <c:strCache>
                <c:ptCount val="1"/>
                <c:pt idx="0">
                  <c:v>Separation</c:v>
                </c:pt>
              </c:strCache>
            </c:strRef>
          </c:tx>
          <c:spPr>
            <a:solidFill>
              <a:srgbClr val="0066FF"/>
            </a:solidFill>
            <a:ln>
              <a:solidFill>
                <a:schemeClr val="tx1"/>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(PreemptionForm!$D$161,PreemptionForm!$E$161,PreemptionForm!$G$161)</c15:sqref>
                  </c15:fullRef>
                </c:ext>
              </c:extLst>
              <c:f>(PreemptionForm!$D$161,PreemptionForm!$E$161,PreemptionForm!$G$161)</c:f>
              <c:strCache>
                <c:ptCount val="3"/>
                <c:pt idx="0">
                  <c:v>Design Vehicle</c:v>
                </c:pt>
                <c:pt idx="1">
                  <c:v>Traffic Signal</c:v>
                </c:pt>
                <c:pt idx="2">
                  <c:v>RR Signal System</c:v>
                </c:pt>
              </c:strCache>
            </c:strRef>
          </c:cat>
          <c:val>
            <c:numRef>
              <c:extLst>
                <c:ext xmlns:c15="http://schemas.microsoft.com/office/drawing/2012/chart" uri="{02D57815-91ED-43cb-92C2-25804820EDAC}">
                  <c15:fullRef>
                    <c15:sqref>(PreemptionForm!$D$179:$E$179,PreemptionForm!$G$179)</c15:sqref>
                  </c15:fullRef>
                </c:ext>
              </c:extLst>
              <c:f>(PreemptionForm!$D$179:$E$179,PreemptionForm!$G$179)</c:f>
              <c:numCache>
                <c:formatCode>0</c:formatCode>
                <c:ptCount val="3"/>
                <c:pt idx="0">
                  <c:v>4</c:v>
                </c:pt>
              </c:numCache>
            </c:numRef>
          </c:val>
          <c:extLst>
            <c:ext xmlns:c16="http://schemas.microsoft.com/office/drawing/2014/chart" uri="{C3380CC4-5D6E-409C-BE32-E72D297353CC}">
              <c16:uniqueId val="{00000029-5C6C-43C9-9897-DFD18D306001}"/>
            </c:ext>
          </c:extLst>
        </c:ser>
        <c:dLbls>
          <c:showLegendKey val="0"/>
          <c:showVal val="0"/>
          <c:showCatName val="0"/>
          <c:showSerName val="0"/>
          <c:showPercent val="0"/>
          <c:showBubbleSize val="0"/>
        </c:dLbls>
        <c:gapWidth val="100"/>
        <c:overlap val="100"/>
        <c:axId val="183250272"/>
        <c:axId val="183250832"/>
      </c:barChart>
      <c:catAx>
        <c:axId val="183250272"/>
        <c:scaling>
          <c:orientation val="minMax"/>
        </c:scaling>
        <c:delete val="0"/>
        <c:axPos val="l"/>
        <c:majorGridlines/>
        <c:numFmt formatCode="General" sourceLinked="1"/>
        <c:majorTickMark val="none"/>
        <c:minorTickMark val="none"/>
        <c:tickLblPos val="nextTo"/>
        <c:txPr>
          <a:bodyPr rot="0" vert="horz"/>
          <a:lstStyle/>
          <a:p>
            <a:pPr>
              <a:defRPr/>
            </a:pPr>
            <a:endParaRPr lang="en-US"/>
          </a:p>
        </c:txPr>
        <c:crossAx val="183250832"/>
        <c:crossesAt val="0"/>
        <c:auto val="1"/>
        <c:lblAlgn val="ctr"/>
        <c:lblOffset val="100"/>
        <c:tickLblSkip val="1"/>
        <c:tickMarkSkip val="1"/>
        <c:noMultiLvlLbl val="0"/>
      </c:catAx>
      <c:valAx>
        <c:axId val="183250832"/>
        <c:scaling>
          <c:orientation val="minMax"/>
          <c:min val="0"/>
        </c:scaling>
        <c:delete val="0"/>
        <c:axPos val="b"/>
        <c:majorGridlines/>
        <c:minorGridlines/>
        <c:title>
          <c:tx>
            <c:rich>
              <a:bodyPr/>
              <a:lstStyle/>
              <a:p>
                <a:pPr>
                  <a:defRPr/>
                </a:pPr>
                <a:r>
                  <a:rPr lang="en-US"/>
                  <a:t>Time in Seconds</a:t>
                </a:r>
              </a:p>
            </c:rich>
          </c:tx>
          <c:layout>
            <c:manualLayout>
              <c:xMode val="edge"/>
              <c:yMode val="edge"/>
              <c:x val="0.45347276830893801"/>
              <c:y val="0.96805032851025319"/>
            </c:manualLayout>
          </c:layout>
          <c:overlay val="0"/>
        </c:title>
        <c:numFmt formatCode="General" sourceLinked="1"/>
        <c:majorTickMark val="out"/>
        <c:minorTickMark val="none"/>
        <c:tickLblPos val="nextTo"/>
        <c:txPr>
          <a:bodyPr rot="0" vert="horz"/>
          <a:lstStyle/>
          <a:p>
            <a:pPr>
              <a:defRPr/>
            </a:pPr>
            <a:endParaRPr lang="en-US"/>
          </a:p>
        </c:txPr>
        <c:crossAx val="183250272"/>
        <c:crosses val="autoZero"/>
        <c:crossBetween val="between"/>
        <c:majorUnit val="5"/>
        <c:minorUnit val="1"/>
      </c:valAx>
    </c:plotArea>
    <c:plotVisOnly val="1"/>
    <c:dispBlanksAs val="gap"/>
    <c:showDLblsOverMax val="0"/>
  </c:chart>
  <c:spPr>
    <a:ln w="0">
      <a:noFill/>
    </a:ln>
  </c:spPr>
  <c:printSettings>
    <c:headerFooter alignWithMargins="0"/>
    <c:pageMargins b="1" l="0.75" r="0.75" t="1" header="0.5" footer="0.5"/>
    <c:pageSetup orientation="landscape" horizontalDpi="300" verticalDpi="300"/>
  </c:printSettings>
</c:chartSpace>
</file>

<file path=xl/drawings/_rels/drawing1.xml.rels><?xml version="1.0" encoding="UTF-8" standalone="yes"?>
<Relationships xmlns="http://schemas.openxmlformats.org/package/2006/relationships"><Relationship Id="rId13" Type="http://schemas.openxmlformats.org/officeDocument/2006/relationships/hyperlink" Target="#Line12"/><Relationship Id="rId18" Type="http://schemas.openxmlformats.org/officeDocument/2006/relationships/hyperlink" Target="#Line18"/><Relationship Id="rId26" Type="http://schemas.openxmlformats.org/officeDocument/2006/relationships/hyperlink" Target="#Line26"/><Relationship Id="rId39" Type="http://schemas.openxmlformats.org/officeDocument/2006/relationships/hyperlink" Target="#Line39"/><Relationship Id="rId21" Type="http://schemas.openxmlformats.org/officeDocument/2006/relationships/hyperlink" Target="#Line21"/><Relationship Id="rId34" Type="http://schemas.openxmlformats.org/officeDocument/2006/relationships/hyperlink" Target="#Line34"/><Relationship Id="rId42" Type="http://schemas.openxmlformats.org/officeDocument/2006/relationships/hyperlink" Target="#Line42"/><Relationship Id="rId47" Type="http://schemas.openxmlformats.org/officeDocument/2006/relationships/chart" Target="../charts/chart1.xml"/><Relationship Id="rId7" Type="http://schemas.openxmlformats.org/officeDocument/2006/relationships/hyperlink" Target="#Line6"/><Relationship Id="rId2" Type="http://schemas.openxmlformats.org/officeDocument/2006/relationships/hyperlink" Target="#Line1"/><Relationship Id="rId16" Type="http://schemas.openxmlformats.org/officeDocument/2006/relationships/hyperlink" Target="#Line16"/><Relationship Id="rId29" Type="http://schemas.openxmlformats.org/officeDocument/2006/relationships/hyperlink" Target="#Line29"/><Relationship Id="rId11" Type="http://schemas.openxmlformats.org/officeDocument/2006/relationships/hyperlink" Target="#Line10"/><Relationship Id="rId24" Type="http://schemas.openxmlformats.org/officeDocument/2006/relationships/hyperlink" Target="#Line24"/><Relationship Id="rId32" Type="http://schemas.openxmlformats.org/officeDocument/2006/relationships/hyperlink" Target="#Line32"/><Relationship Id="rId37" Type="http://schemas.openxmlformats.org/officeDocument/2006/relationships/hyperlink" Target="#Line37"/><Relationship Id="rId40" Type="http://schemas.openxmlformats.org/officeDocument/2006/relationships/hyperlink" Target="#Line40"/><Relationship Id="rId45" Type="http://schemas.openxmlformats.org/officeDocument/2006/relationships/hyperlink" Target="http://safetydata.fra.dot.gov/officeofsafety/publicsite/crossing/xingqryloc.aspx" TargetMode="External"/><Relationship Id="rId5" Type="http://schemas.openxmlformats.org/officeDocument/2006/relationships/hyperlink" Target="#Line4"/><Relationship Id="rId15" Type="http://schemas.openxmlformats.org/officeDocument/2006/relationships/hyperlink" Target="#Line15"/><Relationship Id="rId23" Type="http://schemas.openxmlformats.org/officeDocument/2006/relationships/hyperlink" Target="#Line23"/><Relationship Id="rId28" Type="http://schemas.openxmlformats.org/officeDocument/2006/relationships/hyperlink" Target="#Line28"/><Relationship Id="rId36" Type="http://schemas.openxmlformats.org/officeDocument/2006/relationships/hyperlink" Target="#Line36"/><Relationship Id="rId49" Type="http://schemas.openxmlformats.org/officeDocument/2006/relationships/image" Target="../media/image4.emf"/><Relationship Id="rId10" Type="http://schemas.openxmlformats.org/officeDocument/2006/relationships/hyperlink" Target="#Line9"/><Relationship Id="rId19" Type="http://schemas.openxmlformats.org/officeDocument/2006/relationships/hyperlink" Target="#Line19"/><Relationship Id="rId31" Type="http://schemas.openxmlformats.org/officeDocument/2006/relationships/hyperlink" Target="#Line31"/><Relationship Id="rId44" Type="http://schemas.openxmlformats.org/officeDocument/2006/relationships/hyperlink" Target="#Line44"/><Relationship Id="rId4" Type="http://schemas.openxmlformats.org/officeDocument/2006/relationships/hyperlink" Target="#Line3"/><Relationship Id="rId9" Type="http://schemas.openxmlformats.org/officeDocument/2006/relationships/hyperlink" Target="#Line8"/><Relationship Id="rId14" Type="http://schemas.openxmlformats.org/officeDocument/2006/relationships/hyperlink" Target="#Line13"/><Relationship Id="rId22" Type="http://schemas.openxmlformats.org/officeDocument/2006/relationships/hyperlink" Target="#Line22"/><Relationship Id="rId27" Type="http://schemas.openxmlformats.org/officeDocument/2006/relationships/hyperlink" Target="#Line27"/><Relationship Id="rId30" Type="http://schemas.openxmlformats.org/officeDocument/2006/relationships/hyperlink" Target="#Line30"/><Relationship Id="rId35" Type="http://schemas.openxmlformats.org/officeDocument/2006/relationships/hyperlink" Target="#Line35"/><Relationship Id="rId43" Type="http://schemas.openxmlformats.org/officeDocument/2006/relationships/hyperlink" Target="#Line43"/><Relationship Id="rId48" Type="http://schemas.openxmlformats.org/officeDocument/2006/relationships/image" Target="../media/image3.png"/><Relationship Id="rId8" Type="http://schemas.openxmlformats.org/officeDocument/2006/relationships/hyperlink" Target="#Line7"/><Relationship Id="rId3" Type="http://schemas.openxmlformats.org/officeDocument/2006/relationships/hyperlink" Target="#Line2"/><Relationship Id="rId12" Type="http://schemas.openxmlformats.org/officeDocument/2006/relationships/hyperlink" Target="#Line11"/><Relationship Id="rId17" Type="http://schemas.openxmlformats.org/officeDocument/2006/relationships/hyperlink" Target="#Line17"/><Relationship Id="rId25" Type="http://schemas.openxmlformats.org/officeDocument/2006/relationships/hyperlink" Target="#Line25"/><Relationship Id="rId33" Type="http://schemas.openxmlformats.org/officeDocument/2006/relationships/hyperlink" Target="#Line33"/><Relationship Id="rId38" Type="http://schemas.openxmlformats.org/officeDocument/2006/relationships/hyperlink" Target="#Line38"/><Relationship Id="rId46" Type="http://schemas.openxmlformats.org/officeDocument/2006/relationships/image" Target="../media/image2.jpeg"/><Relationship Id="rId20" Type="http://schemas.openxmlformats.org/officeDocument/2006/relationships/hyperlink" Target="#Line20"/><Relationship Id="rId41" Type="http://schemas.openxmlformats.org/officeDocument/2006/relationships/hyperlink" Target="#Line41"/><Relationship Id="rId1" Type="http://schemas.openxmlformats.org/officeDocument/2006/relationships/image" Target="../media/image1.emf"/><Relationship Id="rId6" Type="http://schemas.openxmlformats.org/officeDocument/2006/relationships/hyperlink" Target="#Line5"/></Relationships>
</file>

<file path=xl/drawings/_rels/drawing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4"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6.jpg"/></Relationships>
</file>

<file path=xl/drawings/_rels/drawing1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6.jpg"/></Relationships>
</file>

<file path=xl/drawings/_rels/drawing16.xml.rels><?xml version="1.0" encoding="UTF-8" standalone="yes"?>
<Relationships xmlns="http://schemas.openxmlformats.org/package/2006/relationships"><Relationship Id="rId8" Type="http://schemas.openxmlformats.org/officeDocument/2006/relationships/image" Target="../media/image24.jpg"/><Relationship Id="rId3" Type="http://schemas.openxmlformats.org/officeDocument/2006/relationships/image" Target="../media/image19.jpg"/><Relationship Id="rId7" Type="http://schemas.openxmlformats.org/officeDocument/2006/relationships/image" Target="../media/image23.jpg"/><Relationship Id="rId2" Type="http://schemas.openxmlformats.org/officeDocument/2006/relationships/image" Target="../media/image18.jpg"/><Relationship Id="rId1" Type="http://schemas.openxmlformats.org/officeDocument/2006/relationships/image" Target="../media/image17.jpg"/><Relationship Id="rId6" Type="http://schemas.openxmlformats.org/officeDocument/2006/relationships/image" Target="../media/image22.jpg"/><Relationship Id="rId5" Type="http://schemas.openxmlformats.org/officeDocument/2006/relationships/image" Target="../media/image21.jpg"/><Relationship Id="rId4" Type="http://schemas.openxmlformats.org/officeDocument/2006/relationships/image" Target="../media/image20.jpg"/></Relationships>
</file>

<file path=xl/drawings/_rels/drawing2.xml.rels><?xml version="1.0" encoding="UTF-8" standalone="yes"?>
<Relationships xmlns="http://schemas.openxmlformats.org/package/2006/relationships"><Relationship Id="rId3" Type="http://schemas.openxmlformats.org/officeDocument/2006/relationships/hyperlink" Target="#Line51"/><Relationship Id="rId2" Type="http://schemas.openxmlformats.org/officeDocument/2006/relationships/hyperlink" Target="#Line50"/><Relationship Id="rId1" Type="http://schemas.openxmlformats.org/officeDocument/2006/relationships/hyperlink" Target="#Line47"/><Relationship Id="rId5" Type="http://schemas.openxmlformats.org/officeDocument/2006/relationships/hyperlink" Target="http://safetydata.fra.dot.gov/officeofsafety/publicsite/crossing/xingqryloc.aspx" TargetMode="External"/><Relationship Id="rId4" Type="http://schemas.openxmlformats.org/officeDocument/2006/relationships/image" Target="../media/image2.jpeg"/></Relationships>
</file>

<file path=xl/drawings/_rels/drawing3.xml.rels><?xml version="1.0" encoding="UTF-8" standalone="yes"?>
<Relationships xmlns="http://schemas.openxmlformats.org/package/2006/relationships"><Relationship Id="rId8" Type="http://schemas.openxmlformats.org/officeDocument/2006/relationships/hyperlink" Target="#Line60"/><Relationship Id="rId13" Type="http://schemas.openxmlformats.org/officeDocument/2006/relationships/image" Target="../media/image2.jpeg"/><Relationship Id="rId3" Type="http://schemas.openxmlformats.org/officeDocument/2006/relationships/hyperlink" Target="#Line55"/><Relationship Id="rId7" Type="http://schemas.openxmlformats.org/officeDocument/2006/relationships/hyperlink" Target="#Line59"/><Relationship Id="rId12" Type="http://schemas.openxmlformats.org/officeDocument/2006/relationships/hyperlink" Target="http://safetydata.fra.dot.gov/officeofsafety/publicsite/crossing/xingqryloc.aspx" TargetMode="External"/><Relationship Id="rId2" Type="http://schemas.openxmlformats.org/officeDocument/2006/relationships/hyperlink" Target="#Line54"/><Relationship Id="rId1" Type="http://schemas.openxmlformats.org/officeDocument/2006/relationships/hyperlink" Target="#Line53"/><Relationship Id="rId6" Type="http://schemas.openxmlformats.org/officeDocument/2006/relationships/hyperlink" Target="#Line58"/><Relationship Id="rId11" Type="http://schemas.openxmlformats.org/officeDocument/2006/relationships/hyperlink" Target="#Line63"/><Relationship Id="rId5" Type="http://schemas.openxmlformats.org/officeDocument/2006/relationships/hyperlink" Target="#Line57"/><Relationship Id="rId10" Type="http://schemas.openxmlformats.org/officeDocument/2006/relationships/hyperlink" Target="#Line62"/><Relationship Id="rId4" Type="http://schemas.openxmlformats.org/officeDocument/2006/relationships/hyperlink" Target="#Line56"/><Relationship Id="rId9" Type="http://schemas.openxmlformats.org/officeDocument/2006/relationships/hyperlink" Target="#Line61"/></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3" Type="http://schemas.openxmlformats.org/officeDocument/2006/relationships/hyperlink" Target="#Line67"/><Relationship Id="rId2" Type="http://schemas.openxmlformats.org/officeDocument/2006/relationships/hyperlink" Target="#Line66"/><Relationship Id="rId1" Type="http://schemas.openxmlformats.org/officeDocument/2006/relationships/hyperlink" Target="#Line65"/><Relationship Id="rId6" Type="http://schemas.openxmlformats.org/officeDocument/2006/relationships/image" Target="../media/image2.jpeg"/><Relationship Id="rId5" Type="http://schemas.openxmlformats.org/officeDocument/2006/relationships/hyperlink" Target="http://safetydata.fra.dot.gov/officeofsafety/publicsite/crossing/xingqryloc.aspx" TargetMode="External"/><Relationship Id="rId4" Type="http://schemas.openxmlformats.org/officeDocument/2006/relationships/hyperlink" Target="#Line68"/></Relationships>
</file>

<file path=xl/drawings/_rels/drawing7.xml.rels><?xml version="1.0" encoding="UTF-8" standalone="yes"?>
<Relationships xmlns="http://schemas.openxmlformats.org/package/2006/relationships"><Relationship Id="rId3" Type="http://schemas.openxmlformats.org/officeDocument/2006/relationships/hyperlink" Target="http://safetydata.fra.dot.gov/officeofsafety/publicsite/crossing/xingqryloc.aspx" TargetMode="External"/><Relationship Id="rId2" Type="http://schemas.openxmlformats.org/officeDocument/2006/relationships/image" Target="../media/image2.jpeg"/><Relationship Id="rId1" Type="http://schemas.openxmlformats.org/officeDocument/2006/relationships/hyperlink" Target="#Line70"/></Relationships>
</file>

<file path=xl/drawings/_rels/drawing8.xml.rels><?xml version="1.0" encoding="UTF-8" standalone="yes"?>
<Relationships xmlns="http://schemas.openxmlformats.org/package/2006/relationships"><Relationship Id="rId26" Type="http://schemas.openxmlformats.org/officeDocument/2006/relationships/hyperlink" Target="#Form22"/><Relationship Id="rId21" Type="http://schemas.openxmlformats.org/officeDocument/2006/relationships/hyperlink" Target="#Form17"/><Relationship Id="rId34" Type="http://schemas.openxmlformats.org/officeDocument/2006/relationships/hyperlink" Target="#Form30"/><Relationship Id="rId42" Type="http://schemas.openxmlformats.org/officeDocument/2006/relationships/hyperlink" Target="#Form38"/><Relationship Id="rId47" Type="http://schemas.openxmlformats.org/officeDocument/2006/relationships/hyperlink" Target="#Form50"/><Relationship Id="rId50" Type="http://schemas.openxmlformats.org/officeDocument/2006/relationships/hyperlink" Target="#Form55"/><Relationship Id="rId55" Type="http://schemas.openxmlformats.org/officeDocument/2006/relationships/hyperlink" Target="#Form60"/><Relationship Id="rId63" Type="http://schemas.openxmlformats.org/officeDocument/2006/relationships/hyperlink" Target="#Form68"/><Relationship Id="rId68" Type="http://schemas.openxmlformats.org/officeDocument/2006/relationships/hyperlink" Target="#Form44"/><Relationship Id="rId7" Type="http://schemas.openxmlformats.org/officeDocument/2006/relationships/hyperlink" Target="#Form2"/><Relationship Id="rId2" Type="http://schemas.openxmlformats.org/officeDocument/2006/relationships/image" Target="../media/image9.png"/><Relationship Id="rId16" Type="http://schemas.openxmlformats.org/officeDocument/2006/relationships/hyperlink" Target="#Form11"/><Relationship Id="rId29" Type="http://schemas.openxmlformats.org/officeDocument/2006/relationships/hyperlink" Target="#Form25"/><Relationship Id="rId11" Type="http://schemas.openxmlformats.org/officeDocument/2006/relationships/hyperlink" Target="#Form6"/><Relationship Id="rId24" Type="http://schemas.openxmlformats.org/officeDocument/2006/relationships/hyperlink" Target="#Form20"/><Relationship Id="rId32" Type="http://schemas.openxmlformats.org/officeDocument/2006/relationships/hyperlink" Target="#Form28"/><Relationship Id="rId37" Type="http://schemas.openxmlformats.org/officeDocument/2006/relationships/hyperlink" Target="#Form33"/><Relationship Id="rId40" Type="http://schemas.openxmlformats.org/officeDocument/2006/relationships/hyperlink" Target="#Form36"/><Relationship Id="rId45" Type="http://schemas.openxmlformats.org/officeDocument/2006/relationships/hyperlink" Target="#Form41"/><Relationship Id="rId53" Type="http://schemas.openxmlformats.org/officeDocument/2006/relationships/hyperlink" Target="#Form58"/><Relationship Id="rId58" Type="http://schemas.openxmlformats.org/officeDocument/2006/relationships/hyperlink" Target="#Form70"/><Relationship Id="rId66" Type="http://schemas.openxmlformats.org/officeDocument/2006/relationships/hyperlink" Target="#Form42"/><Relationship Id="rId5" Type="http://schemas.openxmlformats.org/officeDocument/2006/relationships/image" Target="../media/image12.png"/><Relationship Id="rId61" Type="http://schemas.openxmlformats.org/officeDocument/2006/relationships/hyperlink" Target="#Form66"/><Relationship Id="rId19" Type="http://schemas.openxmlformats.org/officeDocument/2006/relationships/hyperlink" Target="#Form15"/><Relationship Id="rId14" Type="http://schemas.openxmlformats.org/officeDocument/2006/relationships/hyperlink" Target="#Form9"/><Relationship Id="rId22" Type="http://schemas.openxmlformats.org/officeDocument/2006/relationships/hyperlink" Target="#Form18"/><Relationship Id="rId27" Type="http://schemas.openxmlformats.org/officeDocument/2006/relationships/hyperlink" Target="#Form23"/><Relationship Id="rId30" Type="http://schemas.openxmlformats.org/officeDocument/2006/relationships/hyperlink" Target="#Form26"/><Relationship Id="rId35" Type="http://schemas.openxmlformats.org/officeDocument/2006/relationships/hyperlink" Target="#Form31"/><Relationship Id="rId43" Type="http://schemas.openxmlformats.org/officeDocument/2006/relationships/hyperlink" Target="#Form39"/><Relationship Id="rId48" Type="http://schemas.openxmlformats.org/officeDocument/2006/relationships/hyperlink" Target="#Form52"/><Relationship Id="rId56" Type="http://schemas.openxmlformats.org/officeDocument/2006/relationships/hyperlink" Target="#Form61"/><Relationship Id="rId64" Type="http://schemas.openxmlformats.org/officeDocument/2006/relationships/hyperlink" Target="#Form53"/><Relationship Id="rId8" Type="http://schemas.openxmlformats.org/officeDocument/2006/relationships/hyperlink" Target="#Form3"/><Relationship Id="rId51" Type="http://schemas.openxmlformats.org/officeDocument/2006/relationships/hyperlink" Target="#Form56"/><Relationship Id="rId3" Type="http://schemas.openxmlformats.org/officeDocument/2006/relationships/image" Target="../media/image10.png"/><Relationship Id="rId12" Type="http://schemas.openxmlformats.org/officeDocument/2006/relationships/hyperlink" Target="#Form7"/><Relationship Id="rId17" Type="http://schemas.openxmlformats.org/officeDocument/2006/relationships/hyperlink" Target="#Form12"/><Relationship Id="rId25" Type="http://schemas.openxmlformats.org/officeDocument/2006/relationships/hyperlink" Target="#Form21"/><Relationship Id="rId33" Type="http://schemas.openxmlformats.org/officeDocument/2006/relationships/hyperlink" Target="#Form29"/><Relationship Id="rId38" Type="http://schemas.openxmlformats.org/officeDocument/2006/relationships/hyperlink" Target="#Form34"/><Relationship Id="rId46" Type="http://schemas.openxmlformats.org/officeDocument/2006/relationships/hyperlink" Target="#Form47"/><Relationship Id="rId59" Type="http://schemas.openxmlformats.org/officeDocument/2006/relationships/hyperlink" Target="#Form51"/><Relationship Id="rId67" Type="http://schemas.openxmlformats.org/officeDocument/2006/relationships/hyperlink" Target="#Form43"/><Relationship Id="rId20" Type="http://schemas.openxmlformats.org/officeDocument/2006/relationships/hyperlink" Target="#Form16"/><Relationship Id="rId41" Type="http://schemas.openxmlformats.org/officeDocument/2006/relationships/hyperlink" Target="#Form37"/><Relationship Id="rId54" Type="http://schemas.openxmlformats.org/officeDocument/2006/relationships/hyperlink" Target="#Form59"/><Relationship Id="rId62" Type="http://schemas.openxmlformats.org/officeDocument/2006/relationships/hyperlink" Target="#Form67"/><Relationship Id="rId1" Type="http://schemas.openxmlformats.org/officeDocument/2006/relationships/image" Target="../media/image8.png"/><Relationship Id="rId6" Type="http://schemas.openxmlformats.org/officeDocument/2006/relationships/hyperlink" Target="#Form1"/><Relationship Id="rId15" Type="http://schemas.openxmlformats.org/officeDocument/2006/relationships/hyperlink" Target="#Form10"/><Relationship Id="rId23" Type="http://schemas.openxmlformats.org/officeDocument/2006/relationships/hyperlink" Target="#Form19"/><Relationship Id="rId28" Type="http://schemas.openxmlformats.org/officeDocument/2006/relationships/hyperlink" Target="#Form24"/><Relationship Id="rId36" Type="http://schemas.openxmlformats.org/officeDocument/2006/relationships/hyperlink" Target="#Form32"/><Relationship Id="rId49" Type="http://schemas.openxmlformats.org/officeDocument/2006/relationships/hyperlink" Target="#Form54"/><Relationship Id="rId57" Type="http://schemas.openxmlformats.org/officeDocument/2006/relationships/hyperlink" Target="#Form62"/><Relationship Id="rId10" Type="http://schemas.openxmlformats.org/officeDocument/2006/relationships/hyperlink" Target="#Form5"/><Relationship Id="rId31" Type="http://schemas.openxmlformats.org/officeDocument/2006/relationships/hyperlink" Target="#Form27"/><Relationship Id="rId44" Type="http://schemas.openxmlformats.org/officeDocument/2006/relationships/hyperlink" Target="#Form40"/><Relationship Id="rId52" Type="http://schemas.openxmlformats.org/officeDocument/2006/relationships/hyperlink" Target="#Form57"/><Relationship Id="rId60" Type="http://schemas.openxmlformats.org/officeDocument/2006/relationships/hyperlink" Target="#Form65"/><Relationship Id="rId65" Type="http://schemas.openxmlformats.org/officeDocument/2006/relationships/image" Target="../media/image2.jpeg"/><Relationship Id="rId4" Type="http://schemas.openxmlformats.org/officeDocument/2006/relationships/image" Target="../media/image11.png"/><Relationship Id="rId9" Type="http://schemas.openxmlformats.org/officeDocument/2006/relationships/hyperlink" Target="#Form4"/><Relationship Id="rId13" Type="http://schemas.openxmlformats.org/officeDocument/2006/relationships/hyperlink" Target="#Form8"/><Relationship Id="rId18" Type="http://schemas.openxmlformats.org/officeDocument/2006/relationships/hyperlink" Target="#Form13"/><Relationship Id="rId39" Type="http://schemas.openxmlformats.org/officeDocument/2006/relationships/hyperlink" Target="#Form35"/></Relationships>
</file>

<file path=xl/drawings/_rels/drawing9.x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458931</xdr:colOff>
          <xdr:row>30</xdr:row>
          <xdr:rowOff>17318</xdr:rowOff>
        </xdr:from>
        <xdr:to>
          <xdr:col>0</xdr:col>
          <xdr:colOff>1220931</xdr:colOff>
          <xdr:row>34</xdr:row>
          <xdr:rowOff>53611</xdr:rowOff>
        </xdr:to>
        <xdr:pic>
          <xdr:nvPicPr>
            <xdr:cNvPr id="109" name="Picture 108">
              <a:extLst>
                <a:ext uri="{FF2B5EF4-FFF2-40B4-BE49-F238E27FC236}">
                  <a16:creationId xmlns:a16="http://schemas.microsoft.com/office/drawing/2014/main" id="{00000000-0008-0000-0000-00006D000000}"/>
                </a:ext>
              </a:extLst>
            </xdr:cNvPr>
            <xdr:cNvPicPr>
              <a:picLocks noChangeAspect="1" noChangeArrowheads="1"/>
              <a:extLst>
                <a:ext uri="{84589F7E-364E-4C9E-8A38-B11213B215E9}">
                  <a14:cameraTool cellRange="Arrow" spid="_x0000_s14143"/>
                </a:ext>
              </a:extLst>
            </xdr:cNvPicPr>
          </xdr:nvPicPr>
          <xdr:blipFill rotWithShape="1">
            <a:blip xmlns:r="http://schemas.openxmlformats.org/officeDocument/2006/relationships" r:embed="rId1"/>
            <a:srcRect l="7178" t="5612" r="14115" b="6846"/>
            <a:stretch>
              <a:fillRect/>
            </a:stretch>
          </xdr:blipFill>
          <xdr:spPr bwMode="auto">
            <a:xfrm>
              <a:off x="458931" y="4999626"/>
              <a:ext cx="762000" cy="76200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0</xdr:col>
      <xdr:colOff>615540</xdr:colOff>
      <xdr:row>15</xdr:row>
      <xdr:rowOff>7694</xdr:rowOff>
    </xdr:from>
    <xdr:to>
      <xdr:col>26</xdr:col>
      <xdr:colOff>16228</xdr:colOff>
      <xdr:row>34</xdr:row>
      <xdr:rowOff>97744</xdr:rowOff>
    </xdr:to>
    <xdr:grpSp>
      <xdr:nvGrpSpPr>
        <xdr:cNvPr id="3" name="Group 2">
          <a:extLst>
            <a:ext uri="{FF2B5EF4-FFF2-40B4-BE49-F238E27FC236}">
              <a16:creationId xmlns:a16="http://schemas.microsoft.com/office/drawing/2014/main" id="{00000000-0008-0000-0000-000003000000}"/>
            </a:ext>
          </a:extLst>
        </xdr:cNvPr>
        <xdr:cNvGrpSpPr/>
      </xdr:nvGrpSpPr>
      <xdr:grpSpPr>
        <a:xfrm>
          <a:off x="617445" y="2524199"/>
          <a:ext cx="8565643" cy="4141985"/>
          <a:chOff x="572244" y="2264831"/>
          <a:chExt cx="7871010" cy="4357250"/>
        </a:xfrm>
      </xdr:grpSpPr>
      <xdr:grpSp>
        <xdr:nvGrpSpPr>
          <xdr:cNvPr id="13" name="Group 12">
            <a:extLst>
              <a:ext uri="{FF2B5EF4-FFF2-40B4-BE49-F238E27FC236}">
                <a16:creationId xmlns:a16="http://schemas.microsoft.com/office/drawing/2014/main" id="{00000000-0008-0000-0000-00000D000000}"/>
              </a:ext>
            </a:extLst>
          </xdr:cNvPr>
          <xdr:cNvGrpSpPr/>
        </xdr:nvGrpSpPr>
        <xdr:grpSpPr>
          <a:xfrm>
            <a:off x="572244" y="2264831"/>
            <a:ext cx="7871010" cy="4357250"/>
            <a:chOff x="588119" y="1943098"/>
            <a:chExt cx="8460317" cy="4319150"/>
          </a:xfrm>
        </xdr:grpSpPr>
        <xdr:grpSp>
          <xdr:nvGrpSpPr>
            <xdr:cNvPr id="5" name="Group 4">
              <a:extLst>
                <a:ext uri="{FF2B5EF4-FFF2-40B4-BE49-F238E27FC236}">
                  <a16:creationId xmlns:a16="http://schemas.microsoft.com/office/drawing/2014/main" id="{00000000-0008-0000-0000-000005000000}"/>
                </a:ext>
              </a:extLst>
            </xdr:cNvPr>
            <xdr:cNvGrpSpPr/>
          </xdr:nvGrpSpPr>
          <xdr:grpSpPr>
            <a:xfrm>
              <a:off x="588119" y="1943098"/>
              <a:ext cx="8460317" cy="4319150"/>
              <a:chOff x="588119" y="1944219"/>
              <a:chExt cx="8470963" cy="4297858"/>
            </a:xfrm>
          </xdr:grpSpPr>
          <xdr:grpSp>
            <xdr:nvGrpSpPr>
              <xdr:cNvPr id="2" name="Group 1">
                <a:extLst>
                  <a:ext uri="{FF2B5EF4-FFF2-40B4-BE49-F238E27FC236}">
                    <a16:creationId xmlns:a16="http://schemas.microsoft.com/office/drawing/2014/main" id="{00000000-0008-0000-0000-000002000000}"/>
                  </a:ext>
                </a:extLst>
              </xdr:cNvPr>
              <xdr:cNvGrpSpPr/>
            </xdr:nvGrpSpPr>
            <xdr:grpSpPr>
              <a:xfrm>
                <a:off x="588119" y="1944219"/>
                <a:ext cx="8470963" cy="4297858"/>
                <a:chOff x="588119" y="1457323"/>
                <a:chExt cx="8231717" cy="4319150"/>
              </a:xfrm>
            </xdr:grpSpPr>
            <xdr:grpSp>
              <xdr:nvGrpSpPr>
                <xdr:cNvPr id="198" name="Group 197">
                  <a:extLst>
                    <a:ext uri="{FF2B5EF4-FFF2-40B4-BE49-F238E27FC236}">
                      <a16:creationId xmlns:a16="http://schemas.microsoft.com/office/drawing/2014/main" id="{00000000-0008-0000-0000-0000C6000000}"/>
                    </a:ext>
                  </a:extLst>
                </xdr:cNvPr>
                <xdr:cNvGrpSpPr/>
              </xdr:nvGrpSpPr>
              <xdr:grpSpPr>
                <a:xfrm>
                  <a:off x="588119" y="1658610"/>
                  <a:ext cx="8231717" cy="4117863"/>
                  <a:chOff x="740439" y="539129"/>
                  <a:chExt cx="5775814" cy="3084092"/>
                </a:xfrm>
              </xdr:grpSpPr>
              <xdr:grpSp>
                <xdr:nvGrpSpPr>
                  <xdr:cNvPr id="196" name="Group 195">
                    <a:extLst>
                      <a:ext uri="{FF2B5EF4-FFF2-40B4-BE49-F238E27FC236}">
                        <a16:creationId xmlns:a16="http://schemas.microsoft.com/office/drawing/2014/main" id="{00000000-0008-0000-0000-0000C4000000}"/>
                      </a:ext>
                    </a:extLst>
                  </xdr:cNvPr>
                  <xdr:cNvGrpSpPr/>
                </xdr:nvGrpSpPr>
                <xdr:grpSpPr>
                  <a:xfrm>
                    <a:off x="740439" y="539129"/>
                    <a:ext cx="5775814" cy="3084092"/>
                    <a:chOff x="740439" y="539129"/>
                    <a:chExt cx="5775814" cy="3084092"/>
                  </a:xfrm>
                </xdr:grpSpPr>
                <xdr:grpSp>
                  <xdr:nvGrpSpPr>
                    <xdr:cNvPr id="194" name="Group 193">
                      <a:extLst>
                        <a:ext uri="{FF2B5EF4-FFF2-40B4-BE49-F238E27FC236}">
                          <a16:creationId xmlns:a16="http://schemas.microsoft.com/office/drawing/2014/main" id="{00000000-0008-0000-0000-0000C2000000}"/>
                        </a:ext>
                      </a:extLst>
                    </xdr:cNvPr>
                    <xdr:cNvGrpSpPr/>
                  </xdr:nvGrpSpPr>
                  <xdr:grpSpPr>
                    <a:xfrm>
                      <a:off x="740439" y="539129"/>
                      <a:ext cx="5775814" cy="3084092"/>
                      <a:chOff x="740439" y="539129"/>
                      <a:chExt cx="5775814" cy="3084092"/>
                    </a:xfrm>
                  </xdr:grpSpPr>
                  <xdr:sp macro="" textlink="Other!K6">
                    <xdr:nvSpPr>
                      <xdr:cNvPr id="186" name="TextBox 185">
                        <a:extLst>
                          <a:ext uri="{FF2B5EF4-FFF2-40B4-BE49-F238E27FC236}">
                            <a16:creationId xmlns:a16="http://schemas.microsoft.com/office/drawing/2014/main" id="{00000000-0008-0000-0000-0000BA000000}"/>
                          </a:ext>
                        </a:extLst>
                      </xdr:cNvPr>
                      <xdr:cNvSpPr txBox="1"/>
                    </xdr:nvSpPr>
                    <xdr:spPr>
                      <a:xfrm>
                        <a:off x="4856037" y="539129"/>
                        <a:ext cx="1011114" cy="282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69BA44BD-5F21-4F9C-944D-B1F6FF6D0FEF}" type="TxLink">
                          <a:rPr lang="en-US" sz="1100" b="0" i="0" u="none" strike="noStrike">
                            <a:solidFill>
                              <a:srgbClr val="000000"/>
                            </a:solidFill>
                            <a:latin typeface="Calibri"/>
                          </a:rPr>
                          <a:pPr algn="ctr"/>
                          <a:t>DVCD = 73.5 ft</a:t>
                        </a:fld>
                        <a:endParaRPr lang="en-US" sz="1100"/>
                      </a:p>
                    </xdr:txBody>
                  </xdr:sp>
                  <xdr:grpSp>
                    <xdr:nvGrpSpPr>
                      <xdr:cNvPr id="193" name="Group 192">
                        <a:extLst>
                          <a:ext uri="{FF2B5EF4-FFF2-40B4-BE49-F238E27FC236}">
                            <a16:creationId xmlns:a16="http://schemas.microsoft.com/office/drawing/2014/main" id="{00000000-0008-0000-0000-0000C1000000}"/>
                          </a:ext>
                        </a:extLst>
                      </xdr:cNvPr>
                      <xdr:cNvGrpSpPr/>
                    </xdr:nvGrpSpPr>
                    <xdr:grpSpPr>
                      <a:xfrm>
                        <a:off x="740439" y="683090"/>
                        <a:ext cx="5775814" cy="2940131"/>
                        <a:chOff x="740439" y="683090"/>
                        <a:chExt cx="5775814" cy="2940131"/>
                      </a:xfrm>
                    </xdr:grpSpPr>
                    <xdr:grpSp>
                      <xdr:nvGrpSpPr>
                        <xdr:cNvPr id="184" name="Group 183">
                          <a:extLst>
                            <a:ext uri="{FF2B5EF4-FFF2-40B4-BE49-F238E27FC236}">
                              <a16:creationId xmlns:a16="http://schemas.microsoft.com/office/drawing/2014/main" id="{00000000-0008-0000-0000-0000B8000000}"/>
                            </a:ext>
                          </a:extLst>
                        </xdr:cNvPr>
                        <xdr:cNvGrpSpPr/>
                      </xdr:nvGrpSpPr>
                      <xdr:grpSpPr>
                        <a:xfrm>
                          <a:off x="740439" y="695792"/>
                          <a:ext cx="5775814" cy="2927429"/>
                          <a:chOff x="7260735" y="964224"/>
                          <a:chExt cx="5789801" cy="2928096"/>
                        </a:xfrm>
                      </xdr:grpSpPr>
                      <xdr:grpSp>
                        <xdr:nvGrpSpPr>
                          <xdr:cNvPr id="179" name="Group 178">
                            <a:extLst>
                              <a:ext uri="{FF2B5EF4-FFF2-40B4-BE49-F238E27FC236}">
                                <a16:creationId xmlns:a16="http://schemas.microsoft.com/office/drawing/2014/main" id="{00000000-0008-0000-0000-0000B3000000}"/>
                              </a:ext>
                            </a:extLst>
                          </xdr:cNvPr>
                          <xdr:cNvGrpSpPr/>
                        </xdr:nvGrpSpPr>
                        <xdr:grpSpPr>
                          <a:xfrm>
                            <a:off x="7260735" y="964224"/>
                            <a:ext cx="5789801" cy="2928096"/>
                            <a:chOff x="7598439" y="678474"/>
                            <a:chExt cx="5789801" cy="2928096"/>
                          </a:xfrm>
                        </xdr:grpSpPr>
                        <xdr:cxnSp macro="">
                          <xdr:nvCxnSpPr>
                            <xdr:cNvPr id="155" name="Straight Connector 154">
                              <a:extLst>
                                <a:ext uri="{FF2B5EF4-FFF2-40B4-BE49-F238E27FC236}">
                                  <a16:creationId xmlns:a16="http://schemas.microsoft.com/office/drawing/2014/main" id="{00000000-0008-0000-0000-00009B000000}"/>
                                </a:ext>
                              </a:extLst>
                            </xdr:cNvPr>
                            <xdr:cNvCxnSpPr/>
                          </xdr:nvCxnSpPr>
                          <xdr:spPr>
                            <a:xfrm flipV="1">
                              <a:off x="11214609" y="1368669"/>
                              <a:ext cx="0" cy="487371"/>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nvGrpSpPr>
                            <xdr:cNvPr id="178" name="Group 177">
                              <a:extLst>
                                <a:ext uri="{FF2B5EF4-FFF2-40B4-BE49-F238E27FC236}">
                                  <a16:creationId xmlns:a16="http://schemas.microsoft.com/office/drawing/2014/main" id="{00000000-0008-0000-0000-0000B2000000}"/>
                                </a:ext>
                              </a:extLst>
                            </xdr:cNvPr>
                            <xdr:cNvGrpSpPr/>
                          </xdr:nvGrpSpPr>
                          <xdr:grpSpPr>
                            <a:xfrm>
                              <a:off x="7598439" y="678474"/>
                              <a:ext cx="5789801" cy="2928096"/>
                              <a:chOff x="7401318" y="1591753"/>
                              <a:chExt cx="5767389" cy="2917910"/>
                            </a:xfrm>
                          </xdr:grpSpPr>
                          <xdr:cxnSp macro="">
                            <xdr:nvCxnSpPr>
                              <xdr:cNvPr id="154" name="Straight Arrow Connector 153">
                                <a:extLst>
                                  <a:ext uri="{FF2B5EF4-FFF2-40B4-BE49-F238E27FC236}">
                                    <a16:creationId xmlns:a16="http://schemas.microsoft.com/office/drawing/2014/main" id="{00000000-0008-0000-0000-00009A000000}"/>
                                  </a:ext>
                                </a:extLst>
                              </xdr:cNvPr>
                              <xdr:cNvCxnSpPr/>
                            </xdr:nvCxnSpPr>
                            <xdr:spPr>
                              <a:xfrm flipV="1">
                                <a:off x="9392319" y="2142005"/>
                                <a:ext cx="1616156" cy="5716"/>
                              </a:xfrm>
                              <a:prstGeom prst="straightConnector1">
                                <a:avLst/>
                              </a:prstGeom>
                              <a:ln w="12700">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xnSp macro="">
                            <xdr:nvCxnSpPr>
                              <xdr:cNvPr id="157" name="Straight Arrow Connector 156">
                                <a:extLst>
                                  <a:ext uri="{FF2B5EF4-FFF2-40B4-BE49-F238E27FC236}">
                                    <a16:creationId xmlns:a16="http://schemas.microsoft.com/office/drawing/2014/main" id="{00000000-0008-0000-0000-00009D000000}"/>
                                  </a:ext>
                                </a:extLst>
                              </xdr:cNvPr>
                              <xdr:cNvCxnSpPr/>
                            </xdr:nvCxnSpPr>
                            <xdr:spPr>
                              <a:xfrm flipV="1">
                                <a:off x="9269827" y="1804987"/>
                                <a:ext cx="2415596" cy="1738"/>
                              </a:xfrm>
                              <a:prstGeom prst="straightConnector1">
                                <a:avLst/>
                              </a:prstGeom>
                              <a:ln w="12700">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xnSp macro="">
                            <xdr:nvCxnSpPr>
                              <xdr:cNvPr id="160" name="Straight Connector 159">
                                <a:extLst>
                                  <a:ext uri="{FF2B5EF4-FFF2-40B4-BE49-F238E27FC236}">
                                    <a16:creationId xmlns:a16="http://schemas.microsoft.com/office/drawing/2014/main" id="{00000000-0008-0000-0000-0000A0000000}"/>
                                  </a:ext>
                                </a:extLst>
                              </xdr:cNvPr>
                              <xdr:cNvCxnSpPr/>
                            </xdr:nvCxnSpPr>
                            <xdr:spPr>
                              <a:xfrm flipV="1">
                                <a:off x="11000298" y="1591753"/>
                                <a:ext cx="0" cy="685800"/>
                              </a:xfrm>
                              <a:prstGeom prst="line">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61" name="Straight Connector 160">
                                <a:extLst>
                                  <a:ext uri="{FF2B5EF4-FFF2-40B4-BE49-F238E27FC236}">
                                    <a16:creationId xmlns:a16="http://schemas.microsoft.com/office/drawing/2014/main" id="{00000000-0008-0000-0000-0000A1000000}"/>
                                  </a:ext>
                                </a:extLst>
                              </xdr:cNvPr>
                              <xdr:cNvCxnSpPr/>
                            </xdr:nvCxnSpPr>
                            <xdr:spPr>
                              <a:xfrm flipV="1">
                                <a:off x="11676358" y="1732517"/>
                                <a:ext cx="0" cy="545036"/>
                              </a:xfrm>
                              <a:prstGeom prst="line">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62" name="Straight Connector 161">
                                <a:extLst>
                                  <a:ext uri="{FF2B5EF4-FFF2-40B4-BE49-F238E27FC236}">
                                    <a16:creationId xmlns:a16="http://schemas.microsoft.com/office/drawing/2014/main" id="{00000000-0008-0000-0000-0000A2000000}"/>
                                  </a:ext>
                                </a:extLst>
                              </xdr:cNvPr>
                              <xdr:cNvCxnSpPr/>
                            </xdr:nvCxnSpPr>
                            <xdr:spPr>
                              <a:xfrm flipV="1">
                                <a:off x="13022616" y="1591753"/>
                                <a:ext cx="0" cy="685800"/>
                              </a:xfrm>
                              <a:prstGeom prst="line">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63" name="Straight Arrow Connector 162">
                                <a:extLst>
                                  <a:ext uri="{FF2B5EF4-FFF2-40B4-BE49-F238E27FC236}">
                                    <a16:creationId xmlns:a16="http://schemas.microsoft.com/office/drawing/2014/main" id="{00000000-0008-0000-0000-0000A3000000}"/>
                                  </a:ext>
                                </a:extLst>
                              </xdr:cNvPr>
                              <xdr:cNvCxnSpPr/>
                            </xdr:nvCxnSpPr>
                            <xdr:spPr>
                              <a:xfrm>
                                <a:off x="11002495" y="2140540"/>
                                <a:ext cx="676099" cy="0"/>
                              </a:xfrm>
                              <a:prstGeom prst="straightConnector1">
                                <a:avLst/>
                              </a:prstGeom>
                              <a:ln w="12700">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xnSp macro="">
                            <xdr:nvCxnSpPr>
                              <xdr:cNvPr id="165" name="Straight Arrow Connector 164">
                                <a:extLst>
                                  <a:ext uri="{FF2B5EF4-FFF2-40B4-BE49-F238E27FC236}">
                                    <a16:creationId xmlns:a16="http://schemas.microsoft.com/office/drawing/2014/main" id="{00000000-0008-0000-0000-0000A5000000}"/>
                                  </a:ext>
                                </a:extLst>
                              </xdr:cNvPr>
                              <xdr:cNvCxnSpPr/>
                            </xdr:nvCxnSpPr>
                            <xdr:spPr>
                              <a:xfrm flipV="1">
                                <a:off x="11671228" y="2141502"/>
                                <a:ext cx="1354318" cy="2198"/>
                              </a:xfrm>
                              <a:prstGeom prst="straightConnector1">
                                <a:avLst/>
                              </a:prstGeom>
                              <a:ln w="12700">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xnSp macro="">
                            <xdr:nvCxnSpPr>
                              <xdr:cNvPr id="169" name="Straight Arrow Connector 168">
                                <a:extLst>
                                  <a:ext uri="{FF2B5EF4-FFF2-40B4-BE49-F238E27FC236}">
                                    <a16:creationId xmlns:a16="http://schemas.microsoft.com/office/drawing/2014/main" id="{00000000-0008-0000-0000-0000A9000000}"/>
                                  </a:ext>
                                </a:extLst>
                              </xdr:cNvPr>
                              <xdr:cNvCxnSpPr/>
                            </xdr:nvCxnSpPr>
                            <xdr:spPr>
                              <a:xfrm>
                                <a:off x="10991004" y="1653956"/>
                                <a:ext cx="2033770" cy="1270"/>
                              </a:xfrm>
                              <a:prstGeom prst="straightConnector1">
                                <a:avLst/>
                              </a:prstGeom>
                              <a:ln w="12700">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grpSp>
                            <xdr:nvGrpSpPr>
                              <xdr:cNvPr id="177" name="Group 176">
                                <a:extLst>
                                  <a:ext uri="{FF2B5EF4-FFF2-40B4-BE49-F238E27FC236}">
                                    <a16:creationId xmlns:a16="http://schemas.microsoft.com/office/drawing/2014/main" id="{00000000-0008-0000-0000-0000B1000000}"/>
                                  </a:ext>
                                </a:extLst>
                              </xdr:cNvPr>
                              <xdr:cNvGrpSpPr/>
                            </xdr:nvGrpSpPr>
                            <xdr:grpSpPr>
                              <a:xfrm>
                                <a:off x="7401318" y="1693793"/>
                                <a:ext cx="5767389" cy="2815870"/>
                                <a:chOff x="7401318" y="1693793"/>
                                <a:chExt cx="5767389" cy="2815870"/>
                              </a:xfrm>
                            </xdr:grpSpPr>
                            <xdr:grpSp>
                              <xdr:nvGrpSpPr>
                                <xdr:cNvPr id="152" name="Group 151">
                                  <a:extLst>
                                    <a:ext uri="{FF2B5EF4-FFF2-40B4-BE49-F238E27FC236}">
                                      <a16:creationId xmlns:a16="http://schemas.microsoft.com/office/drawing/2014/main" id="{00000000-0008-0000-0000-000098000000}"/>
                                    </a:ext>
                                  </a:extLst>
                                </xdr:cNvPr>
                                <xdr:cNvGrpSpPr/>
                              </xdr:nvGrpSpPr>
                              <xdr:grpSpPr>
                                <a:xfrm>
                                  <a:off x="7401318" y="1693793"/>
                                  <a:ext cx="5767389" cy="2813215"/>
                                  <a:chOff x="7392353" y="2590800"/>
                                  <a:chExt cx="5802501" cy="2841626"/>
                                </a:xfrm>
                              </xdr:grpSpPr>
                              <xdr:grpSp>
                                <xdr:nvGrpSpPr>
                                  <xdr:cNvPr id="148" name="Group 147">
                                    <a:extLst>
                                      <a:ext uri="{FF2B5EF4-FFF2-40B4-BE49-F238E27FC236}">
                                        <a16:creationId xmlns:a16="http://schemas.microsoft.com/office/drawing/2014/main" id="{00000000-0008-0000-0000-000094000000}"/>
                                      </a:ext>
                                    </a:extLst>
                                  </xdr:cNvPr>
                                  <xdr:cNvGrpSpPr/>
                                </xdr:nvGrpSpPr>
                                <xdr:grpSpPr>
                                  <a:xfrm>
                                    <a:off x="7392353" y="2590800"/>
                                    <a:ext cx="5802501" cy="2841626"/>
                                    <a:chOff x="7382828" y="2588647"/>
                                    <a:chExt cx="5780276" cy="2821554"/>
                                  </a:xfrm>
                                </xdr:grpSpPr>
                                <xdr:grpSp>
                                  <xdr:nvGrpSpPr>
                                    <xdr:cNvPr id="144" name="Group 143">
                                      <a:extLst>
                                        <a:ext uri="{FF2B5EF4-FFF2-40B4-BE49-F238E27FC236}">
                                          <a16:creationId xmlns:a16="http://schemas.microsoft.com/office/drawing/2014/main" id="{00000000-0008-0000-0000-000090000000}"/>
                                        </a:ext>
                                      </a:extLst>
                                    </xdr:cNvPr>
                                    <xdr:cNvGrpSpPr/>
                                  </xdr:nvGrpSpPr>
                                  <xdr:grpSpPr>
                                    <a:xfrm>
                                      <a:off x="7382828" y="2588647"/>
                                      <a:ext cx="5780276" cy="2821554"/>
                                      <a:chOff x="7392353" y="2590800"/>
                                      <a:chExt cx="5802483" cy="2841626"/>
                                    </a:xfrm>
                                  </xdr:grpSpPr>
                                  <xdr:grpSp>
                                    <xdr:nvGrpSpPr>
                                      <xdr:cNvPr id="74" name="Group 73">
                                        <a:extLst>
                                          <a:ext uri="{FF2B5EF4-FFF2-40B4-BE49-F238E27FC236}">
                                            <a16:creationId xmlns:a16="http://schemas.microsoft.com/office/drawing/2014/main" id="{00000000-0008-0000-0000-00004A000000}"/>
                                          </a:ext>
                                        </a:extLst>
                                      </xdr:cNvPr>
                                      <xdr:cNvGrpSpPr>
                                        <a:grpSpLocks noChangeAspect="1"/>
                                      </xdr:cNvGrpSpPr>
                                    </xdr:nvGrpSpPr>
                                    <xdr:grpSpPr>
                                      <a:xfrm>
                                        <a:off x="7392353" y="2590800"/>
                                        <a:ext cx="5774372" cy="2536504"/>
                                        <a:chOff x="7592378" y="2238375"/>
                                        <a:chExt cx="7149391" cy="3128964"/>
                                      </a:xfrm>
                                    </xdr:grpSpPr>
                                    <xdr:cxnSp macro="">
                                      <xdr:nvCxnSpPr>
                                        <xdr:cNvPr id="47" name="Straight Connector 46">
                                          <a:extLst>
                                            <a:ext uri="{FF2B5EF4-FFF2-40B4-BE49-F238E27FC236}">
                                              <a16:creationId xmlns:a16="http://schemas.microsoft.com/office/drawing/2014/main" id="{00000000-0008-0000-0000-00002F000000}"/>
                                            </a:ext>
                                          </a:extLst>
                                        </xdr:cNvPr>
                                        <xdr:cNvCxnSpPr/>
                                      </xdr:nvCxnSpPr>
                                      <xdr:spPr>
                                        <a:xfrm flipH="1" flipV="1">
                                          <a:off x="9915525" y="2238375"/>
                                          <a:ext cx="563" cy="729118"/>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8" name="Straight Connector 47">
                                          <a:extLst>
                                            <a:ext uri="{FF2B5EF4-FFF2-40B4-BE49-F238E27FC236}">
                                              <a16:creationId xmlns:a16="http://schemas.microsoft.com/office/drawing/2014/main" id="{00000000-0008-0000-0000-000030000000}"/>
                                            </a:ext>
                                          </a:extLst>
                                        </xdr:cNvPr>
                                        <xdr:cNvCxnSpPr/>
                                      </xdr:nvCxnSpPr>
                                      <xdr:spPr>
                                        <a:xfrm flipV="1">
                                          <a:off x="9105900" y="2238375"/>
                                          <a:ext cx="1" cy="533400"/>
                                        </a:xfrm>
                                        <a:prstGeom prst="lin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nvGrpSpPr>
                                        <xdr:cNvPr id="73" name="Group 72">
                                          <a:extLst>
                                            <a:ext uri="{FF2B5EF4-FFF2-40B4-BE49-F238E27FC236}">
                                              <a16:creationId xmlns:a16="http://schemas.microsoft.com/office/drawing/2014/main" id="{00000000-0008-0000-0000-000049000000}"/>
                                            </a:ext>
                                          </a:extLst>
                                        </xdr:cNvPr>
                                        <xdr:cNvGrpSpPr/>
                                      </xdr:nvGrpSpPr>
                                      <xdr:grpSpPr>
                                        <a:xfrm>
                                          <a:off x="7592378" y="2247900"/>
                                          <a:ext cx="7149391" cy="3119439"/>
                                          <a:chOff x="7592378" y="2247900"/>
                                          <a:chExt cx="7149391" cy="3119439"/>
                                        </a:xfrm>
                                      </xdr:grpSpPr>
                                      <xdr:grpSp>
                                        <xdr:nvGrpSpPr>
                                          <xdr:cNvPr id="45" name="Group 44">
                                            <a:extLst>
                                              <a:ext uri="{FF2B5EF4-FFF2-40B4-BE49-F238E27FC236}">
                                                <a16:creationId xmlns:a16="http://schemas.microsoft.com/office/drawing/2014/main" id="{00000000-0008-0000-0000-00002D000000}"/>
                                              </a:ext>
                                            </a:extLst>
                                          </xdr:cNvPr>
                                          <xdr:cNvGrpSpPr/>
                                        </xdr:nvGrpSpPr>
                                        <xdr:grpSpPr>
                                          <a:xfrm>
                                            <a:off x="8337153" y="2247900"/>
                                            <a:ext cx="1590181" cy="3119439"/>
                                            <a:chOff x="648891" y="388938"/>
                                            <a:chExt cx="2241480" cy="4757738"/>
                                          </a:xfrm>
                                        </xdr:grpSpPr>
                                        <xdr:grpSp>
                                          <xdr:nvGrpSpPr>
                                            <xdr:cNvPr id="40" name="Group 39">
                                              <a:extLst>
                                                <a:ext uri="{FF2B5EF4-FFF2-40B4-BE49-F238E27FC236}">
                                                  <a16:creationId xmlns:a16="http://schemas.microsoft.com/office/drawing/2014/main" id="{00000000-0008-0000-0000-000028000000}"/>
                                                </a:ext>
                                              </a:extLst>
                                            </xdr:cNvPr>
                                            <xdr:cNvGrpSpPr/>
                                          </xdr:nvGrpSpPr>
                                          <xdr:grpSpPr>
                                            <a:xfrm>
                                              <a:off x="648891" y="1480344"/>
                                              <a:ext cx="2241480" cy="3666332"/>
                                              <a:chOff x="648891" y="845344"/>
                                              <a:chExt cx="2357333" cy="3475832"/>
                                            </a:xfrm>
                                          </xdr:grpSpPr>
                                          <xdr:cxnSp macro="">
                                            <xdr:nvCxnSpPr>
                                              <xdr:cNvPr id="18" name="Straight Connector 17">
                                                <a:extLst>
                                                  <a:ext uri="{FF2B5EF4-FFF2-40B4-BE49-F238E27FC236}">
                                                    <a16:creationId xmlns:a16="http://schemas.microsoft.com/office/drawing/2014/main" id="{00000000-0008-0000-0000-000012000000}"/>
                                                  </a:ext>
                                                </a:extLst>
                                              </xdr:cNvPr>
                                              <xdr:cNvCxnSpPr/>
                                            </xdr:nvCxnSpPr>
                                            <xdr:spPr>
                                              <a:xfrm flipV="1">
                                                <a:off x="656649" y="862263"/>
                                                <a:ext cx="2349575" cy="0"/>
                                              </a:xfrm>
                                              <a:prstGeom prst="lin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1" name="Straight Connector 30">
                                                <a:extLst>
                                                  <a:ext uri="{FF2B5EF4-FFF2-40B4-BE49-F238E27FC236}">
                                                    <a16:creationId xmlns:a16="http://schemas.microsoft.com/office/drawing/2014/main" id="{00000000-0008-0000-0000-00001F000000}"/>
                                                  </a:ext>
                                                </a:extLst>
                                              </xdr:cNvPr>
                                              <xdr:cNvCxnSpPr/>
                                            </xdr:nvCxnSpPr>
                                            <xdr:spPr>
                                              <a:xfrm flipV="1">
                                                <a:off x="648891" y="845344"/>
                                                <a:ext cx="5953" cy="2365376"/>
                                              </a:xfrm>
                                              <a:prstGeom prst="lin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3" name="Straight Connector 32">
                                                <a:extLst>
                                                  <a:ext uri="{FF2B5EF4-FFF2-40B4-BE49-F238E27FC236}">
                                                    <a16:creationId xmlns:a16="http://schemas.microsoft.com/office/drawing/2014/main" id="{00000000-0008-0000-0000-000021000000}"/>
                                                  </a:ext>
                                                </a:extLst>
                                              </xdr:cNvPr>
                                              <xdr:cNvCxnSpPr/>
                                            </xdr:nvCxnSpPr>
                                            <xdr:spPr>
                                              <a:xfrm flipH="1" flipV="1">
                                                <a:off x="2991644" y="3198019"/>
                                                <a:ext cx="794" cy="1112044"/>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4" name="Straight Connector 33">
                                                <a:extLst>
                                                  <a:ext uri="{FF2B5EF4-FFF2-40B4-BE49-F238E27FC236}">
                                                    <a16:creationId xmlns:a16="http://schemas.microsoft.com/office/drawing/2014/main" id="{00000000-0008-0000-0000-000022000000}"/>
                                                  </a:ext>
                                                </a:extLst>
                                              </xdr:cNvPr>
                                              <xdr:cNvCxnSpPr/>
                                            </xdr:nvCxnSpPr>
                                            <xdr:spPr>
                                              <a:xfrm>
                                                <a:off x="651085" y="3191935"/>
                                                <a:ext cx="2354304" cy="0"/>
                                              </a:xfrm>
                                              <a:prstGeom prst="lin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8" name="Straight Connector 37">
                                                <a:extLst>
                                                  <a:ext uri="{FF2B5EF4-FFF2-40B4-BE49-F238E27FC236}">
                                                    <a16:creationId xmlns:a16="http://schemas.microsoft.com/office/drawing/2014/main" id="{00000000-0008-0000-0000-000026000000}"/>
                                                  </a:ext>
                                                </a:extLst>
                                              </xdr:cNvPr>
                                              <xdr:cNvCxnSpPr/>
                                            </xdr:nvCxnSpPr>
                                            <xdr:spPr>
                                              <a:xfrm flipH="1" flipV="1">
                                                <a:off x="651669" y="3199606"/>
                                                <a:ext cx="794" cy="1112044"/>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9" name="Straight Connector 38">
                                                <a:extLst>
                                                  <a:ext uri="{FF2B5EF4-FFF2-40B4-BE49-F238E27FC236}">
                                                    <a16:creationId xmlns:a16="http://schemas.microsoft.com/office/drawing/2014/main" id="{00000000-0008-0000-0000-000027000000}"/>
                                                  </a:ext>
                                                </a:extLst>
                                              </xdr:cNvPr>
                                              <xdr:cNvCxnSpPr/>
                                            </xdr:nvCxnSpPr>
                                            <xdr:spPr>
                                              <a:xfrm flipH="1" flipV="1">
                                                <a:off x="1788505" y="3543022"/>
                                                <a:ext cx="608" cy="778154"/>
                                              </a:xfrm>
                                              <a:prstGeom prst="lin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xnSp macro="">
                                          <xdr:nvCxnSpPr>
                                            <xdr:cNvPr id="44" name="Straight Connector 43">
                                              <a:extLst>
                                                <a:ext uri="{FF2B5EF4-FFF2-40B4-BE49-F238E27FC236}">
                                                  <a16:creationId xmlns:a16="http://schemas.microsoft.com/office/drawing/2014/main" id="{00000000-0008-0000-0000-00002C000000}"/>
                                                </a:ext>
                                              </a:extLst>
                                            </xdr:cNvPr>
                                            <xdr:cNvCxnSpPr/>
                                          </xdr:nvCxnSpPr>
                                          <xdr:spPr>
                                            <a:xfrm flipH="1" flipV="1">
                                              <a:off x="650875" y="388938"/>
                                              <a:ext cx="794" cy="1112044"/>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xnSp macro="">
                                        <xdr:nvCxnSpPr>
                                          <xdr:cNvPr id="46" name="Straight Connector 45">
                                            <a:extLst>
                                              <a:ext uri="{FF2B5EF4-FFF2-40B4-BE49-F238E27FC236}">
                                                <a16:creationId xmlns:a16="http://schemas.microsoft.com/office/drawing/2014/main" id="{00000000-0008-0000-0000-00002E000000}"/>
                                              </a:ext>
                                            </a:extLst>
                                          </xdr:cNvPr>
                                          <xdr:cNvCxnSpPr/>
                                        </xdr:nvCxnSpPr>
                                        <xdr:spPr>
                                          <a:xfrm flipH="1" flipV="1">
                                            <a:off x="8337153" y="2247900"/>
                                            <a:ext cx="563" cy="729118"/>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9" name="Straight Connector 48">
                                            <a:extLst>
                                              <a:ext uri="{FF2B5EF4-FFF2-40B4-BE49-F238E27FC236}">
                                                <a16:creationId xmlns:a16="http://schemas.microsoft.com/office/drawing/2014/main" id="{00000000-0008-0000-0000-000031000000}"/>
                                              </a:ext>
                                            </a:extLst>
                                          </xdr:cNvPr>
                                          <xdr:cNvCxnSpPr/>
                                        </xdr:nvCxnSpPr>
                                        <xdr:spPr>
                                          <a:xfrm>
                                            <a:off x="7597774" y="4588358"/>
                                            <a:ext cx="731520" cy="0"/>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2" name="Straight Connector 51">
                                            <a:extLst>
                                              <a:ext uri="{FF2B5EF4-FFF2-40B4-BE49-F238E27FC236}">
                                                <a16:creationId xmlns:a16="http://schemas.microsoft.com/office/drawing/2014/main" id="{00000000-0008-0000-0000-000034000000}"/>
                                              </a:ext>
                                            </a:extLst>
                                          </xdr:cNvPr>
                                          <xdr:cNvCxnSpPr/>
                                        </xdr:nvCxnSpPr>
                                        <xdr:spPr>
                                          <a:xfrm flipV="1">
                                            <a:off x="7592378" y="2977458"/>
                                            <a:ext cx="750295" cy="1349"/>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3" name="Straight Connector 52">
                                            <a:extLst>
                                              <a:ext uri="{FF2B5EF4-FFF2-40B4-BE49-F238E27FC236}">
                                                <a16:creationId xmlns:a16="http://schemas.microsoft.com/office/drawing/2014/main" id="{00000000-0008-0000-0000-000035000000}"/>
                                              </a:ext>
                                            </a:extLst>
                                          </xdr:cNvPr>
                                          <xdr:cNvCxnSpPr/>
                                        </xdr:nvCxnSpPr>
                                        <xdr:spPr>
                                          <a:xfrm>
                                            <a:off x="7593763" y="3751681"/>
                                            <a:ext cx="483437" cy="1169"/>
                                          </a:xfrm>
                                          <a:prstGeom prst="lin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sp macro="" textlink="">
                                        <xdr:nvSpPr>
                                          <xdr:cNvPr id="55" name="Rounded Rectangle 54">
                                            <a:extLst>
                                              <a:ext uri="{FF2B5EF4-FFF2-40B4-BE49-F238E27FC236}">
                                                <a16:creationId xmlns:a16="http://schemas.microsoft.com/office/drawing/2014/main" id="{00000000-0008-0000-0000-000037000000}"/>
                                              </a:ext>
                                            </a:extLst>
                                          </xdr:cNvPr>
                                          <xdr:cNvSpPr/>
                                        </xdr:nvSpPr>
                                        <xdr:spPr>
                                          <a:xfrm>
                                            <a:off x="9996121" y="3574074"/>
                                            <a:ext cx="2116015" cy="305532"/>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59" name="Straight Connector 58">
                                            <a:extLst>
                                              <a:ext uri="{FF2B5EF4-FFF2-40B4-BE49-F238E27FC236}">
                                                <a16:creationId xmlns:a16="http://schemas.microsoft.com/office/drawing/2014/main" id="{00000000-0008-0000-0000-00003B000000}"/>
                                              </a:ext>
                                            </a:extLst>
                                          </xdr:cNvPr>
                                          <xdr:cNvCxnSpPr/>
                                        </xdr:nvCxnSpPr>
                                        <xdr:spPr>
                                          <a:xfrm flipV="1">
                                            <a:off x="8346968" y="4810125"/>
                                            <a:ext cx="1566020" cy="231"/>
                                          </a:xfrm>
                                          <a:prstGeom prst="lin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1" name="Straight Connector 60">
                                            <a:extLst>
                                              <a:ext uri="{FF2B5EF4-FFF2-40B4-BE49-F238E27FC236}">
                                                <a16:creationId xmlns:a16="http://schemas.microsoft.com/office/drawing/2014/main" id="{00000000-0008-0000-0000-00003D000000}"/>
                                              </a:ext>
                                            </a:extLst>
                                          </xdr:cNvPr>
                                          <xdr:cNvCxnSpPr/>
                                        </xdr:nvCxnSpPr>
                                        <xdr:spPr>
                                          <a:xfrm flipH="1" flipV="1">
                                            <a:off x="8079978" y="2971801"/>
                                            <a:ext cx="3417" cy="1622074"/>
                                          </a:xfrm>
                                          <a:prstGeom prst="lin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3" name="Straight Connector 62">
                                            <a:extLst>
                                              <a:ext uri="{FF2B5EF4-FFF2-40B4-BE49-F238E27FC236}">
                                                <a16:creationId xmlns:a16="http://schemas.microsoft.com/office/drawing/2014/main" id="{00000000-0008-0000-0000-00003F000000}"/>
                                              </a:ext>
                                            </a:extLst>
                                          </xdr:cNvPr>
                                          <xdr:cNvCxnSpPr/>
                                        </xdr:nvCxnSpPr>
                                        <xdr:spPr>
                                          <a:xfrm flipV="1">
                                            <a:off x="8327628" y="2771775"/>
                                            <a:ext cx="1584948" cy="0"/>
                                          </a:xfrm>
                                          <a:prstGeom prst="lin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8" name="Straight Connector 67">
                                            <a:extLst>
                                              <a:ext uri="{FF2B5EF4-FFF2-40B4-BE49-F238E27FC236}">
                                                <a16:creationId xmlns:a16="http://schemas.microsoft.com/office/drawing/2014/main" id="{00000000-0008-0000-0000-000044000000}"/>
                                              </a:ext>
                                            </a:extLst>
                                          </xdr:cNvPr>
                                          <xdr:cNvCxnSpPr/>
                                        </xdr:nvCxnSpPr>
                                        <xdr:spPr>
                                          <a:xfrm>
                                            <a:off x="9921015" y="2973872"/>
                                            <a:ext cx="2223546" cy="1442"/>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1" name="Straight Connector 70">
                                            <a:extLst>
                                              <a:ext uri="{FF2B5EF4-FFF2-40B4-BE49-F238E27FC236}">
                                                <a16:creationId xmlns:a16="http://schemas.microsoft.com/office/drawing/2014/main" id="{00000000-0008-0000-0000-000047000000}"/>
                                              </a:ext>
                                            </a:extLst>
                                          </xdr:cNvPr>
                                          <xdr:cNvCxnSpPr/>
                                        </xdr:nvCxnSpPr>
                                        <xdr:spPr>
                                          <a:xfrm flipV="1">
                                            <a:off x="9910823" y="4578149"/>
                                            <a:ext cx="2192472" cy="914"/>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sp macro="" textlink="">
                                        <xdr:nvSpPr>
                                          <xdr:cNvPr id="72" name="Rounded Rectangle 71">
                                            <a:extLst>
                                              <a:ext uri="{FF2B5EF4-FFF2-40B4-BE49-F238E27FC236}">
                                                <a16:creationId xmlns:a16="http://schemas.microsoft.com/office/drawing/2014/main" id="{00000000-0008-0000-0000-000048000000}"/>
                                              </a:ext>
                                            </a:extLst>
                                          </xdr:cNvPr>
                                          <xdr:cNvSpPr/>
                                        </xdr:nvSpPr>
                                        <xdr:spPr>
                                          <a:xfrm>
                                            <a:off x="12625754" y="3566014"/>
                                            <a:ext cx="2116015" cy="305532"/>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xnSp macro="">
                                    <xdr:nvCxnSpPr>
                                      <xdr:cNvPr id="121" name="Straight Connector 120">
                                        <a:extLst>
                                          <a:ext uri="{FF2B5EF4-FFF2-40B4-BE49-F238E27FC236}">
                                            <a16:creationId xmlns:a16="http://schemas.microsoft.com/office/drawing/2014/main" id="{00000000-0008-0000-0000-000079000000}"/>
                                          </a:ext>
                                        </a:extLst>
                                      </xdr:cNvPr>
                                      <xdr:cNvCxnSpPr/>
                                    </xdr:nvCxnSpPr>
                                    <xdr:spPr>
                                      <a:xfrm flipV="1">
                                        <a:off x="11433882" y="4487568"/>
                                        <a:ext cx="1760954" cy="3787"/>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22" name="Straight Connector 121">
                                        <a:extLst>
                                          <a:ext uri="{FF2B5EF4-FFF2-40B4-BE49-F238E27FC236}">
                                            <a16:creationId xmlns:a16="http://schemas.microsoft.com/office/drawing/2014/main" id="{00000000-0008-0000-0000-00007A000000}"/>
                                          </a:ext>
                                        </a:extLst>
                                      </xdr:cNvPr>
                                      <xdr:cNvCxnSpPr/>
                                    </xdr:nvCxnSpPr>
                                    <xdr:spPr>
                                      <a:xfrm flipV="1">
                                        <a:off x="11422998" y="3182644"/>
                                        <a:ext cx="1760954" cy="3787"/>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nvGrpSpPr>
                                      <xdr:cNvPr id="143" name="Group 142">
                                        <a:extLst>
                                          <a:ext uri="{FF2B5EF4-FFF2-40B4-BE49-F238E27FC236}">
                                            <a16:creationId xmlns:a16="http://schemas.microsoft.com/office/drawing/2014/main" id="{00000000-0008-0000-0000-00008F000000}"/>
                                          </a:ext>
                                        </a:extLst>
                                      </xdr:cNvPr>
                                      <xdr:cNvGrpSpPr/>
                                    </xdr:nvGrpSpPr>
                                    <xdr:grpSpPr>
                                      <a:xfrm>
                                        <a:off x="11129736" y="3082717"/>
                                        <a:ext cx="231776" cy="2349709"/>
                                        <a:chOff x="11129736" y="3082717"/>
                                        <a:chExt cx="231776" cy="2349709"/>
                                      </a:xfrm>
                                    </xdr:grpSpPr>
                                    <xdr:cxnSp macro="">
                                      <xdr:nvCxnSpPr>
                                        <xdr:cNvPr id="77" name="Straight Connector 76">
                                          <a:extLst>
                                            <a:ext uri="{FF2B5EF4-FFF2-40B4-BE49-F238E27FC236}">
                                              <a16:creationId xmlns:a16="http://schemas.microsoft.com/office/drawing/2014/main" id="{00000000-0008-0000-0000-00004D000000}"/>
                                            </a:ext>
                                          </a:extLst>
                                        </xdr:cNvPr>
                                        <xdr:cNvCxnSpPr/>
                                      </xdr:nvCxnSpPr>
                                      <xdr:spPr>
                                        <a:xfrm flipV="1">
                                          <a:off x="11328400" y="3082717"/>
                                          <a:ext cx="0" cy="2349709"/>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5" name="Straight Connector 84">
                                          <a:extLst>
                                            <a:ext uri="{FF2B5EF4-FFF2-40B4-BE49-F238E27FC236}">
                                              <a16:creationId xmlns:a16="http://schemas.microsoft.com/office/drawing/2014/main" id="{00000000-0008-0000-0000-000055000000}"/>
                                            </a:ext>
                                          </a:extLst>
                                        </xdr:cNvPr>
                                        <xdr:cNvCxnSpPr/>
                                      </xdr:nvCxnSpPr>
                                      <xdr:spPr>
                                        <a:xfrm flipV="1">
                                          <a:off x="11129736" y="3125560"/>
                                          <a:ext cx="229054" cy="0"/>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6" name="Straight Connector 85">
                                          <a:extLst>
                                            <a:ext uri="{FF2B5EF4-FFF2-40B4-BE49-F238E27FC236}">
                                              <a16:creationId xmlns:a16="http://schemas.microsoft.com/office/drawing/2014/main" id="{00000000-0008-0000-0000-000056000000}"/>
                                            </a:ext>
                                          </a:extLst>
                                        </xdr:cNvPr>
                                        <xdr:cNvCxnSpPr/>
                                      </xdr:nvCxnSpPr>
                                      <xdr:spPr>
                                        <a:xfrm flipV="1">
                                          <a:off x="11129736" y="3277960"/>
                                          <a:ext cx="229054" cy="0"/>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7" name="Straight Connector 86">
                                          <a:extLst>
                                            <a:ext uri="{FF2B5EF4-FFF2-40B4-BE49-F238E27FC236}">
                                              <a16:creationId xmlns:a16="http://schemas.microsoft.com/office/drawing/2014/main" id="{00000000-0008-0000-0000-000057000000}"/>
                                            </a:ext>
                                          </a:extLst>
                                        </xdr:cNvPr>
                                        <xdr:cNvCxnSpPr/>
                                      </xdr:nvCxnSpPr>
                                      <xdr:spPr>
                                        <a:xfrm flipV="1">
                                          <a:off x="11129736" y="3430360"/>
                                          <a:ext cx="229054" cy="0"/>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8" name="Straight Connector 87">
                                          <a:extLst>
                                            <a:ext uri="{FF2B5EF4-FFF2-40B4-BE49-F238E27FC236}">
                                              <a16:creationId xmlns:a16="http://schemas.microsoft.com/office/drawing/2014/main" id="{00000000-0008-0000-0000-000058000000}"/>
                                            </a:ext>
                                          </a:extLst>
                                        </xdr:cNvPr>
                                        <xdr:cNvCxnSpPr/>
                                      </xdr:nvCxnSpPr>
                                      <xdr:spPr>
                                        <a:xfrm flipV="1">
                                          <a:off x="11129736" y="3582760"/>
                                          <a:ext cx="229054" cy="0"/>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9" name="Straight Connector 88">
                                          <a:extLst>
                                            <a:ext uri="{FF2B5EF4-FFF2-40B4-BE49-F238E27FC236}">
                                              <a16:creationId xmlns:a16="http://schemas.microsoft.com/office/drawing/2014/main" id="{00000000-0008-0000-0000-000059000000}"/>
                                            </a:ext>
                                          </a:extLst>
                                        </xdr:cNvPr>
                                        <xdr:cNvCxnSpPr/>
                                      </xdr:nvCxnSpPr>
                                      <xdr:spPr>
                                        <a:xfrm flipV="1">
                                          <a:off x="11129736" y="3735614"/>
                                          <a:ext cx="229054" cy="0"/>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0" name="Straight Connector 89">
                                          <a:extLst>
                                            <a:ext uri="{FF2B5EF4-FFF2-40B4-BE49-F238E27FC236}">
                                              <a16:creationId xmlns:a16="http://schemas.microsoft.com/office/drawing/2014/main" id="{00000000-0008-0000-0000-00005A000000}"/>
                                            </a:ext>
                                          </a:extLst>
                                        </xdr:cNvPr>
                                        <xdr:cNvCxnSpPr/>
                                      </xdr:nvCxnSpPr>
                                      <xdr:spPr>
                                        <a:xfrm flipV="1">
                                          <a:off x="11129736" y="3888014"/>
                                          <a:ext cx="229054" cy="0"/>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1" name="Straight Connector 90">
                                          <a:extLst>
                                            <a:ext uri="{FF2B5EF4-FFF2-40B4-BE49-F238E27FC236}">
                                              <a16:creationId xmlns:a16="http://schemas.microsoft.com/office/drawing/2014/main" id="{00000000-0008-0000-0000-00005B000000}"/>
                                            </a:ext>
                                          </a:extLst>
                                        </xdr:cNvPr>
                                        <xdr:cNvCxnSpPr/>
                                      </xdr:nvCxnSpPr>
                                      <xdr:spPr>
                                        <a:xfrm flipV="1">
                                          <a:off x="11129736" y="4040868"/>
                                          <a:ext cx="229054" cy="0"/>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2" name="Straight Connector 91">
                                          <a:extLst>
                                            <a:ext uri="{FF2B5EF4-FFF2-40B4-BE49-F238E27FC236}">
                                              <a16:creationId xmlns:a16="http://schemas.microsoft.com/office/drawing/2014/main" id="{00000000-0008-0000-0000-00005C000000}"/>
                                            </a:ext>
                                          </a:extLst>
                                        </xdr:cNvPr>
                                        <xdr:cNvCxnSpPr/>
                                      </xdr:nvCxnSpPr>
                                      <xdr:spPr>
                                        <a:xfrm flipV="1">
                                          <a:off x="11129736" y="4193268"/>
                                          <a:ext cx="229054" cy="0"/>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3" name="Straight Connector 92">
                                          <a:extLst>
                                            <a:ext uri="{FF2B5EF4-FFF2-40B4-BE49-F238E27FC236}">
                                              <a16:creationId xmlns:a16="http://schemas.microsoft.com/office/drawing/2014/main" id="{00000000-0008-0000-0000-00005D000000}"/>
                                            </a:ext>
                                          </a:extLst>
                                        </xdr:cNvPr>
                                        <xdr:cNvCxnSpPr/>
                                      </xdr:nvCxnSpPr>
                                      <xdr:spPr>
                                        <a:xfrm flipV="1">
                                          <a:off x="11129736" y="4346121"/>
                                          <a:ext cx="229054" cy="0"/>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4" name="Straight Connector 93">
                                          <a:extLst>
                                            <a:ext uri="{FF2B5EF4-FFF2-40B4-BE49-F238E27FC236}">
                                              <a16:creationId xmlns:a16="http://schemas.microsoft.com/office/drawing/2014/main" id="{00000000-0008-0000-0000-00005E000000}"/>
                                            </a:ext>
                                          </a:extLst>
                                        </xdr:cNvPr>
                                        <xdr:cNvCxnSpPr/>
                                      </xdr:nvCxnSpPr>
                                      <xdr:spPr>
                                        <a:xfrm flipV="1">
                                          <a:off x="11129736" y="4498521"/>
                                          <a:ext cx="229054" cy="0"/>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5" name="Straight Connector 94">
                                          <a:extLst>
                                            <a:ext uri="{FF2B5EF4-FFF2-40B4-BE49-F238E27FC236}">
                                              <a16:creationId xmlns:a16="http://schemas.microsoft.com/office/drawing/2014/main" id="{00000000-0008-0000-0000-00005F000000}"/>
                                            </a:ext>
                                          </a:extLst>
                                        </xdr:cNvPr>
                                        <xdr:cNvCxnSpPr/>
                                      </xdr:nvCxnSpPr>
                                      <xdr:spPr>
                                        <a:xfrm flipV="1">
                                          <a:off x="11129736" y="4651375"/>
                                          <a:ext cx="229054" cy="0"/>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6" name="Straight Connector 95">
                                          <a:extLst>
                                            <a:ext uri="{FF2B5EF4-FFF2-40B4-BE49-F238E27FC236}">
                                              <a16:creationId xmlns:a16="http://schemas.microsoft.com/office/drawing/2014/main" id="{00000000-0008-0000-0000-000060000000}"/>
                                            </a:ext>
                                          </a:extLst>
                                        </xdr:cNvPr>
                                        <xdr:cNvCxnSpPr/>
                                      </xdr:nvCxnSpPr>
                                      <xdr:spPr>
                                        <a:xfrm flipV="1">
                                          <a:off x="11129736" y="4804228"/>
                                          <a:ext cx="229054" cy="0"/>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7" name="Straight Connector 96">
                                          <a:extLst>
                                            <a:ext uri="{FF2B5EF4-FFF2-40B4-BE49-F238E27FC236}">
                                              <a16:creationId xmlns:a16="http://schemas.microsoft.com/office/drawing/2014/main" id="{00000000-0008-0000-0000-000061000000}"/>
                                            </a:ext>
                                          </a:extLst>
                                        </xdr:cNvPr>
                                        <xdr:cNvCxnSpPr/>
                                      </xdr:nvCxnSpPr>
                                      <xdr:spPr>
                                        <a:xfrm flipV="1">
                                          <a:off x="11129736" y="4956628"/>
                                          <a:ext cx="229054" cy="0"/>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8" name="Straight Connector 97">
                                          <a:extLst>
                                            <a:ext uri="{FF2B5EF4-FFF2-40B4-BE49-F238E27FC236}">
                                              <a16:creationId xmlns:a16="http://schemas.microsoft.com/office/drawing/2014/main" id="{00000000-0008-0000-0000-000062000000}"/>
                                            </a:ext>
                                          </a:extLst>
                                        </xdr:cNvPr>
                                        <xdr:cNvCxnSpPr/>
                                      </xdr:nvCxnSpPr>
                                      <xdr:spPr>
                                        <a:xfrm flipV="1">
                                          <a:off x="11129736" y="5109482"/>
                                          <a:ext cx="229054" cy="0"/>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9" name="Straight Connector 98">
                                          <a:extLst>
                                            <a:ext uri="{FF2B5EF4-FFF2-40B4-BE49-F238E27FC236}">
                                              <a16:creationId xmlns:a16="http://schemas.microsoft.com/office/drawing/2014/main" id="{00000000-0008-0000-0000-000063000000}"/>
                                            </a:ext>
                                          </a:extLst>
                                        </xdr:cNvPr>
                                        <xdr:cNvCxnSpPr/>
                                      </xdr:nvCxnSpPr>
                                      <xdr:spPr>
                                        <a:xfrm flipV="1">
                                          <a:off x="11129736" y="5261882"/>
                                          <a:ext cx="229054" cy="0"/>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00" name="Straight Connector 99">
                                          <a:extLst>
                                            <a:ext uri="{FF2B5EF4-FFF2-40B4-BE49-F238E27FC236}">
                                              <a16:creationId xmlns:a16="http://schemas.microsoft.com/office/drawing/2014/main" id="{00000000-0008-0000-0000-000064000000}"/>
                                            </a:ext>
                                          </a:extLst>
                                        </xdr:cNvPr>
                                        <xdr:cNvCxnSpPr/>
                                      </xdr:nvCxnSpPr>
                                      <xdr:spPr>
                                        <a:xfrm flipV="1">
                                          <a:off x="11129736" y="5414735"/>
                                          <a:ext cx="229054" cy="0"/>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28" name="Straight Connector 127">
                                          <a:extLst>
                                            <a:ext uri="{FF2B5EF4-FFF2-40B4-BE49-F238E27FC236}">
                                              <a16:creationId xmlns:a16="http://schemas.microsoft.com/office/drawing/2014/main" id="{00000000-0008-0000-0000-000080000000}"/>
                                            </a:ext>
                                          </a:extLst>
                                        </xdr:cNvPr>
                                        <xdr:cNvCxnSpPr/>
                                      </xdr:nvCxnSpPr>
                                      <xdr:spPr>
                                        <a:xfrm flipV="1">
                                          <a:off x="11132458" y="3203121"/>
                                          <a:ext cx="229054" cy="0"/>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29" name="Straight Connector 128">
                                          <a:extLst>
                                            <a:ext uri="{FF2B5EF4-FFF2-40B4-BE49-F238E27FC236}">
                                              <a16:creationId xmlns:a16="http://schemas.microsoft.com/office/drawing/2014/main" id="{00000000-0008-0000-0000-000081000000}"/>
                                            </a:ext>
                                          </a:extLst>
                                        </xdr:cNvPr>
                                        <xdr:cNvCxnSpPr/>
                                      </xdr:nvCxnSpPr>
                                      <xdr:spPr>
                                        <a:xfrm flipV="1">
                                          <a:off x="11132458" y="3355521"/>
                                          <a:ext cx="229054" cy="0"/>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30" name="Straight Connector 129">
                                          <a:extLst>
                                            <a:ext uri="{FF2B5EF4-FFF2-40B4-BE49-F238E27FC236}">
                                              <a16:creationId xmlns:a16="http://schemas.microsoft.com/office/drawing/2014/main" id="{00000000-0008-0000-0000-000082000000}"/>
                                            </a:ext>
                                          </a:extLst>
                                        </xdr:cNvPr>
                                        <xdr:cNvCxnSpPr/>
                                      </xdr:nvCxnSpPr>
                                      <xdr:spPr>
                                        <a:xfrm flipV="1">
                                          <a:off x="11132458" y="3507921"/>
                                          <a:ext cx="229054" cy="0"/>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31" name="Straight Connector 130">
                                          <a:extLst>
                                            <a:ext uri="{FF2B5EF4-FFF2-40B4-BE49-F238E27FC236}">
                                              <a16:creationId xmlns:a16="http://schemas.microsoft.com/office/drawing/2014/main" id="{00000000-0008-0000-0000-000083000000}"/>
                                            </a:ext>
                                          </a:extLst>
                                        </xdr:cNvPr>
                                        <xdr:cNvCxnSpPr/>
                                      </xdr:nvCxnSpPr>
                                      <xdr:spPr>
                                        <a:xfrm flipV="1">
                                          <a:off x="11132458" y="3660321"/>
                                          <a:ext cx="229054" cy="0"/>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32" name="Straight Connector 131">
                                          <a:extLst>
                                            <a:ext uri="{FF2B5EF4-FFF2-40B4-BE49-F238E27FC236}">
                                              <a16:creationId xmlns:a16="http://schemas.microsoft.com/office/drawing/2014/main" id="{00000000-0008-0000-0000-000084000000}"/>
                                            </a:ext>
                                          </a:extLst>
                                        </xdr:cNvPr>
                                        <xdr:cNvCxnSpPr/>
                                      </xdr:nvCxnSpPr>
                                      <xdr:spPr>
                                        <a:xfrm flipV="1">
                                          <a:off x="11132458" y="3813175"/>
                                          <a:ext cx="229054" cy="0"/>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33" name="Straight Connector 132">
                                          <a:extLst>
                                            <a:ext uri="{FF2B5EF4-FFF2-40B4-BE49-F238E27FC236}">
                                              <a16:creationId xmlns:a16="http://schemas.microsoft.com/office/drawing/2014/main" id="{00000000-0008-0000-0000-000085000000}"/>
                                            </a:ext>
                                          </a:extLst>
                                        </xdr:cNvPr>
                                        <xdr:cNvCxnSpPr/>
                                      </xdr:nvCxnSpPr>
                                      <xdr:spPr>
                                        <a:xfrm flipV="1">
                                          <a:off x="11132458" y="3966029"/>
                                          <a:ext cx="229054" cy="0"/>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34" name="Straight Connector 133">
                                          <a:extLst>
                                            <a:ext uri="{FF2B5EF4-FFF2-40B4-BE49-F238E27FC236}">
                                              <a16:creationId xmlns:a16="http://schemas.microsoft.com/office/drawing/2014/main" id="{00000000-0008-0000-0000-000086000000}"/>
                                            </a:ext>
                                          </a:extLst>
                                        </xdr:cNvPr>
                                        <xdr:cNvCxnSpPr/>
                                      </xdr:nvCxnSpPr>
                                      <xdr:spPr>
                                        <a:xfrm flipV="1">
                                          <a:off x="11132458" y="4118429"/>
                                          <a:ext cx="229054" cy="0"/>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35" name="Straight Connector 134">
                                          <a:extLst>
                                            <a:ext uri="{FF2B5EF4-FFF2-40B4-BE49-F238E27FC236}">
                                              <a16:creationId xmlns:a16="http://schemas.microsoft.com/office/drawing/2014/main" id="{00000000-0008-0000-0000-000087000000}"/>
                                            </a:ext>
                                          </a:extLst>
                                        </xdr:cNvPr>
                                        <xdr:cNvCxnSpPr/>
                                      </xdr:nvCxnSpPr>
                                      <xdr:spPr>
                                        <a:xfrm flipV="1">
                                          <a:off x="11132458" y="4271282"/>
                                          <a:ext cx="229054" cy="0"/>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36" name="Straight Connector 135">
                                          <a:extLst>
                                            <a:ext uri="{FF2B5EF4-FFF2-40B4-BE49-F238E27FC236}">
                                              <a16:creationId xmlns:a16="http://schemas.microsoft.com/office/drawing/2014/main" id="{00000000-0008-0000-0000-000088000000}"/>
                                            </a:ext>
                                          </a:extLst>
                                        </xdr:cNvPr>
                                        <xdr:cNvCxnSpPr/>
                                      </xdr:nvCxnSpPr>
                                      <xdr:spPr>
                                        <a:xfrm flipV="1">
                                          <a:off x="11132458" y="4423682"/>
                                          <a:ext cx="229054" cy="0"/>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37" name="Straight Connector 136">
                                          <a:extLst>
                                            <a:ext uri="{FF2B5EF4-FFF2-40B4-BE49-F238E27FC236}">
                                              <a16:creationId xmlns:a16="http://schemas.microsoft.com/office/drawing/2014/main" id="{00000000-0008-0000-0000-000089000000}"/>
                                            </a:ext>
                                          </a:extLst>
                                        </xdr:cNvPr>
                                        <xdr:cNvCxnSpPr/>
                                      </xdr:nvCxnSpPr>
                                      <xdr:spPr>
                                        <a:xfrm flipV="1">
                                          <a:off x="11132458" y="4576536"/>
                                          <a:ext cx="229054" cy="0"/>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38" name="Straight Connector 137">
                                          <a:extLst>
                                            <a:ext uri="{FF2B5EF4-FFF2-40B4-BE49-F238E27FC236}">
                                              <a16:creationId xmlns:a16="http://schemas.microsoft.com/office/drawing/2014/main" id="{00000000-0008-0000-0000-00008A000000}"/>
                                            </a:ext>
                                          </a:extLst>
                                        </xdr:cNvPr>
                                        <xdr:cNvCxnSpPr/>
                                      </xdr:nvCxnSpPr>
                                      <xdr:spPr>
                                        <a:xfrm flipV="1">
                                          <a:off x="11132458" y="4728936"/>
                                          <a:ext cx="229054" cy="0"/>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39" name="Straight Connector 138">
                                          <a:extLst>
                                            <a:ext uri="{FF2B5EF4-FFF2-40B4-BE49-F238E27FC236}">
                                              <a16:creationId xmlns:a16="http://schemas.microsoft.com/office/drawing/2014/main" id="{00000000-0008-0000-0000-00008B000000}"/>
                                            </a:ext>
                                          </a:extLst>
                                        </xdr:cNvPr>
                                        <xdr:cNvCxnSpPr/>
                                      </xdr:nvCxnSpPr>
                                      <xdr:spPr>
                                        <a:xfrm flipV="1">
                                          <a:off x="11132458" y="4881789"/>
                                          <a:ext cx="229054" cy="0"/>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40" name="Straight Connector 139">
                                          <a:extLst>
                                            <a:ext uri="{FF2B5EF4-FFF2-40B4-BE49-F238E27FC236}">
                                              <a16:creationId xmlns:a16="http://schemas.microsoft.com/office/drawing/2014/main" id="{00000000-0008-0000-0000-00008C000000}"/>
                                            </a:ext>
                                          </a:extLst>
                                        </xdr:cNvPr>
                                        <xdr:cNvCxnSpPr/>
                                      </xdr:nvCxnSpPr>
                                      <xdr:spPr>
                                        <a:xfrm flipV="1">
                                          <a:off x="11132458" y="5034189"/>
                                          <a:ext cx="229054" cy="0"/>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41" name="Straight Connector 140">
                                          <a:extLst>
                                            <a:ext uri="{FF2B5EF4-FFF2-40B4-BE49-F238E27FC236}">
                                              <a16:creationId xmlns:a16="http://schemas.microsoft.com/office/drawing/2014/main" id="{00000000-0008-0000-0000-00008D000000}"/>
                                            </a:ext>
                                          </a:extLst>
                                        </xdr:cNvPr>
                                        <xdr:cNvCxnSpPr/>
                                      </xdr:nvCxnSpPr>
                                      <xdr:spPr>
                                        <a:xfrm flipV="1">
                                          <a:off x="11132458" y="5187043"/>
                                          <a:ext cx="229054" cy="0"/>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42" name="Straight Connector 141">
                                          <a:extLst>
                                            <a:ext uri="{FF2B5EF4-FFF2-40B4-BE49-F238E27FC236}">
                                              <a16:creationId xmlns:a16="http://schemas.microsoft.com/office/drawing/2014/main" id="{00000000-0008-0000-0000-00008E000000}"/>
                                            </a:ext>
                                          </a:extLst>
                                        </xdr:cNvPr>
                                        <xdr:cNvCxnSpPr/>
                                      </xdr:nvCxnSpPr>
                                      <xdr:spPr>
                                        <a:xfrm flipV="1">
                                          <a:off x="11132458" y="5339443"/>
                                          <a:ext cx="229054" cy="0"/>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grpSp>
                                <xdr:cxnSp macro="">
                                  <xdr:nvCxnSpPr>
                                    <xdr:cNvPr id="145" name="Straight Connector 144">
                                      <a:extLst>
                                        <a:ext uri="{FF2B5EF4-FFF2-40B4-BE49-F238E27FC236}">
                                          <a16:creationId xmlns:a16="http://schemas.microsoft.com/office/drawing/2014/main" id="{00000000-0008-0000-0000-000091000000}"/>
                                        </a:ext>
                                      </a:extLst>
                                    </xdr:cNvPr>
                                    <xdr:cNvCxnSpPr/>
                                  </xdr:nvCxnSpPr>
                                  <xdr:spPr>
                                    <a:xfrm flipV="1">
                                      <a:off x="11669078" y="3181350"/>
                                      <a:ext cx="0" cy="484632"/>
                                    </a:xfrm>
                                    <a:prstGeom prst="line">
                                      <a:avLst/>
                                    </a:prstGeom>
                                    <a:ln w="698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46" name="Straight Connector 145">
                                      <a:extLst>
                                        <a:ext uri="{FF2B5EF4-FFF2-40B4-BE49-F238E27FC236}">
                                          <a16:creationId xmlns:a16="http://schemas.microsoft.com/office/drawing/2014/main" id="{00000000-0008-0000-0000-000092000000}"/>
                                        </a:ext>
                                      </a:extLst>
                                    </xdr:cNvPr>
                                    <xdr:cNvCxnSpPr/>
                                  </xdr:nvCxnSpPr>
                                  <xdr:spPr>
                                    <a:xfrm flipV="1">
                                      <a:off x="9386888" y="3171825"/>
                                      <a:ext cx="0" cy="485776"/>
                                    </a:xfrm>
                                    <a:prstGeom prst="line">
                                      <a:avLst/>
                                    </a:prstGeom>
                                    <a:ln w="635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149" name="Rounded Rectangle 148">
                                    <a:extLst>
                                      <a:ext uri="{FF2B5EF4-FFF2-40B4-BE49-F238E27FC236}">
                                        <a16:creationId xmlns:a16="http://schemas.microsoft.com/office/drawing/2014/main" id="{00000000-0008-0000-0000-000095000000}"/>
                                      </a:ext>
                                    </a:extLst>
                                  </xdr:cNvPr>
                                  <xdr:cNvSpPr/>
                                </xdr:nvSpPr>
                                <xdr:spPr>
                                  <a:xfrm>
                                    <a:off x="11706724" y="3315607"/>
                                    <a:ext cx="265747" cy="246616"/>
                                  </a:xfrm>
                                  <a:prstGeom prst="roundRect">
                                    <a:avLst/>
                                  </a:prstGeom>
                                  <a:solidFill>
                                    <a:schemeClr val="bg1">
                                      <a:lumMod val="6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50" name="Rounded Rectangle 149">
                                    <a:extLst>
                                      <a:ext uri="{FF2B5EF4-FFF2-40B4-BE49-F238E27FC236}">
                                        <a16:creationId xmlns:a16="http://schemas.microsoft.com/office/drawing/2014/main" id="{00000000-0008-0000-0000-000096000000}"/>
                                      </a:ext>
                                    </a:extLst>
                                  </xdr:cNvPr>
                                  <xdr:cNvSpPr/>
                                </xdr:nvSpPr>
                                <xdr:spPr>
                                  <a:xfrm>
                                    <a:off x="12052346" y="3318329"/>
                                    <a:ext cx="1015954" cy="246616"/>
                                  </a:xfrm>
                                  <a:prstGeom prst="roundRect">
                                    <a:avLst/>
                                  </a:prstGeom>
                                  <a:solidFill>
                                    <a:schemeClr val="bg1">
                                      <a:lumMod val="6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51" name="Rectangle 150">
                                    <a:extLst>
                                      <a:ext uri="{FF2B5EF4-FFF2-40B4-BE49-F238E27FC236}">
                                        <a16:creationId xmlns:a16="http://schemas.microsoft.com/office/drawing/2014/main" id="{00000000-0008-0000-0000-000097000000}"/>
                                      </a:ext>
                                    </a:extLst>
                                  </xdr:cNvPr>
                                  <xdr:cNvSpPr/>
                                </xdr:nvSpPr>
                                <xdr:spPr>
                                  <a:xfrm>
                                    <a:off x="11972471" y="3386365"/>
                                    <a:ext cx="81643" cy="122464"/>
                                  </a:xfrm>
                                  <a:prstGeom prst="rect">
                                    <a:avLst/>
                                  </a:prstGeom>
                                  <a:solidFill>
                                    <a:schemeClr val="bg1">
                                      <a:lumMod val="7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xnSp macro="">
                              <xdr:nvCxnSpPr>
                                <xdr:cNvPr id="176" name="Straight Connector 175">
                                  <a:extLst>
                                    <a:ext uri="{FF2B5EF4-FFF2-40B4-BE49-F238E27FC236}">
                                      <a16:creationId xmlns:a16="http://schemas.microsoft.com/office/drawing/2014/main" id="{00000000-0008-0000-0000-0000B0000000}"/>
                                    </a:ext>
                                  </a:extLst>
                                </xdr:cNvPr>
                                <xdr:cNvCxnSpPr/>
                              </xdr:nvCxnSpPr>
                              <xdr:spPr>
                                <a:xfrm flipV="1">
                                  <a:off x="11149686" y="2181249"/>
                                  <a:ext cx="0" cy="2328414"/>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grpSp>
                      </xdr:grpSp>
                      <xdr:sp macro="" textlink="Other!K2">
                        <xdr:nvSpPr>
                          <xdr:cNvPr id="183" name="TextBox 182">
                            <a:extLst>
                              <a:ext uri="{FF2B5EF4-FFF2-40B4-BE49-F238E27FC236}">
                                <a16:creationId xmlns:a16="http://schemas.microsoft.com/office/drawing/2014/main" id="{00000000-0008-0000-0000-0000B7000000}"/>
                              </a:ext>
                            </a:extLst>
                          </xdr:cNvPr>
                          <xdr:cNvSpPr txBox="1"/>
                        </xdr:nvSpPr>
                        <xdr:spPr>
                          <a:xfrm>
                            <a:off x="9517761" y="1283364"/>
                            <a:ext cx="1013113" cy="282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30BB67CD-D992-44AF-B5ED-79342406B5F1}" type="TxLink">
                              <a:rPr lang="en-US" sz="1100" b="0" i="0" u="none" strike="noStrike">
                                <a:solidFill>
                                  <a:srgbClr val="000000"/>
                                </a:solidFill>
                                <a:latin typeface="Calibri"/>
                              </a:rPr>
                              <a:pPr algn="ctr"/>
                              <a:t>CSD = 0 ft</a:t>
                            </a:fld>
                            <a:endParaRPr lang="en-US" sz="1100"/>
                          </a:p>
                        </xdr:txBody>
                      </xdr:sp>
                    </xdr:grpSp>
                    <xdr:sp macro="" textlink="Other!K3">
                      <xdr:nvSpPr>
                        <xdr:cNvPr id="185" name="TextBox 184">
                          <a:extLst>
                            <a:ext uri="{FF2B5EF4-FFF2-40B4-BE49-F238E27FC236}">
                              <a16:creationId xmlns:a16="http://schemas.microsoft.com/office/drawing/2014/main" id="{00000000-0008-0000-0000-0000B9000000}"/>
                            </a:ext>
                          </a:extLst>
                        </xdr:cNvPr>
                        <xdr:cNvSpPr txBox="1"/>
                      </xdr:nvSpPr>
                      <xdr:spPr>
                        <a:xfrm>
                          <a:off x="3245579" y="683090"/>
                          <a:ext cx="1011115" cy="282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7CA0A312-C5A0-4CA3-A3FC-DCFF7369C169}" type="TxLink">
                            <a:rPr lang="en-US" sz="1100" b="0" i="0" u="none" strike="noStrike">
                              <a:solidFill>
                                <a:srgbClr val="000000"/>
                              </a:solidFill>
                              <a:latin typeface="Calibri"/>
                            </a:rPr>
                            <a:pPr algn="ctr"/>
                            <a:t>L = 0 ft</a:t>
                          </a:fld>
                          <a:endParaRPr lang="en-US" sz="1100"/>
                        </a:p>
                      </xdr:txBody>
                    </xdr:sp>
                    <xdr:sp macro="" textlink="Other!K4">
                      <xdr:nvSpPr>
                        <xdr:cNvPr id="188" name="TextBox 187">
                          <a:extLst>
                            <a:ext uri="{FF2B5EF4-FFF2-40B4-BE49-F238E27FC236}">
                              <a16:creationId xmlns:a16="http://schemas.microsoft.com/office/drawing/2014/main" id="{00000000-0008-0000-0000-0000BC000000}"/>
                            </a:ext>
                          </a:extLst>
                        </xdr:cNvPr>
                        <xdr:cNvSpPr txBox="1"/>
                      </xdr:nvSpPr>
                      <xdr:spPr>
                        <a:xfrm>
                          <a:off x="4353183" y="1014723"/>
                          <a:ext cx="675986" cy="4974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A8B8A097-E730-4D1A-BB96-563E86FEE07D}" type="TxLink">
                            <a:rPr lang="en-US" sz="1100" b="0" i="0" u="none" strike="noStrike">
                              <a:solidFill>
                                <a:srgbClr val="000000"/>
                              </a:solidFill>
                              <a:latin typeface="Calibri"/>
                            </a:rPr>
                            <a:pPr algn="ctr"/>
                            <a:t>MTCD = 0 ft</a:t>
                          </a:fld>
                          <a:endParaRPr lang="en-US" sz="1100"/>
                        </a:p>
                      </xdr:txBody>
                    </xdr:sp>
                    <xdr:sp macro="" textlink="Other!K5">
                      <xdr:nvSpPr>
                        <xdr:cNvPr id="189" name="TextBox 188">
                          <a:extLst>
                            <a:ext uri="{FF2B5EF4-FFF2-40B4-BE49-F238E27FC236}">
                              <a16:creationId xmlns:a16="http://schemas.microsoft.com/office/drawing/2014/main" id="{00000000-0008-0000-0000-0000BD000000}"/>
                            </a:ext>
                          </a:extLst>
                        </xdr:cNvPr>
                        <xdr:cNvSpPr txBox="1"/>
                      </xdr:nvSpPr>
                      <xdr:spPr>
                        <a:xfrm>
                          <a:off x="5205464" y="1040426"/>
                          <a:ext cx="1011114" cy="282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A6B55C9B-5C7F-4E87-A7D3-4709A1244BC9}" type="TxLink">
                            <a:rPr lang="en-US" sz="1100" b="0" i="0" u="none" strike="noStrike">
                              <a:solidFill>
                                <a:srgbClr val="000000"/>
                              </a:solidFill>
                              <a:latin typeface="Calibri"/>
                            </a:rPr>
                            <a:pPr algn="ctr"/>
                            <a:t>DVL = 73.5 ft</a:t>
                          </a:fld>
                          <a:endParaRPr lang="en-US" sz="1100"/>
                        </a:p>
                      </xdr:txBody>
                    </xdr:sp>
                  </xdr:grpSp>
                </xdr:grpSp>
                <xdr:sp macro="" textlink="">
                  <xdr:nvSpPr>
                    <xdr:cNvPr id="195" name="TextBox 194">
                      <a:extLst>
                        <a:ext uri="{FF2B5EF4-FFF2-40B4-BE49-F238E27FC236}">
                          <a16:creationId xmlns:a16="http://schemas.microsoft.com/office/drawing/2014/main" id="{00000000-0008-0000-0000-0000C3000000}"/>
                        </a:ext>
                      </a:extLst>
                    </xdr:cNvPr>
                    <xdr:cNvSpPr txBox="1"/>
                  </xdr:nvSpPr>
                  <xdr:spPr>
                    <a:xfrm>
                      <a:off x="5377959" y="1550145"/>
                      <a:ext cx="1025771" cy="1976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100"/>
                        <a:t>Design Vehicle</a:t>
                      </a:r>
                    </a:p>
                  </xdr:txBody>
                </xdr:sp>
              </xdr:grpSp>
              <xdr:sp macro="" textlink="">
                <xdr:nvSpPr>
                  <xdr:cNvPr id="197" name="TextBox 196">
                    <a:extLst>
                      <a:ext uri="{FF2B5EF4-FFF2-40B4-BE49-F238E27FC236}">
                        <a16:creationId xmlns:a16="http://schemas.microsoft.com/office/drawing/2014/main" id="{00000000-0008-0000-0000-0000C5000000}"/>
                      </a:ext>
                    </a:extLst>
                  </xdr:cNvPr>
                  <xdr:cNvSpPr txBox="1"/>
                </xdr:nvSpPr>
                <xdr:spPr>
                  <a:xfrm rot="16200000">
                    <a:off x="4079191" y="2786164"/>
                    <a:ext cx="5321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Track</a:t>
                    </a:r>
                  </a:p>
                </xdr:txBody>
              </xdr:sp>
            </xdr:grpSp>
            <xdr:sp macro="" textlink="Other!K8">
              <xdr:nvSpPr>
                <xdr:cNvPr id="110" name="TextBox 109">
                  <a:extLst>
                    <a:ext uri="{FF2B5EF4-FFF2-40B4-BE49-F238E27FC236}">
                      <a16:creationId xmlns:a16="http://schemas.microsoft.com/office/drawing/2014/main" id="{00000000-0008-0000-0000-00006E000000}"/>
                    </a:ext>
                  </a:extLst>
                </xdr:cNvPr>
                <xdr:cNvSpPr txBox="1"/>
              </xdr:nvSpPr>
              <xdr:spPr>
                <a:xfrm rot="16200000">
                  <a:off x="1424523" y="1705941"/>
                  <a:ext cx="1148195" cy="650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5B344087-E86A-43DD-BF50-C0F31DEA24B6}" type="TxLink">
                    <a:rPr lang="en-US" sz="1100" b="0" i="0" u="none" strike="noStrike">
                      <a:solidFill>
                        <a:srgbClr val="000000"/>
                      </a:solidFill>
                      <a:latin typeface="Calibri"/>
                    </a:rPr>
                    <a:pPr algn="ctr"/>
                    <a:t> </a:t>
                  </a:fld>
                  <a:endParaRPr lang="en-US" sz="1400" b="1"/>
                </a:p>
              </xdr:txBody>
            </xdr:sp>
            <xdr:sp macro="" textlink="Other!K7">
              <xdr:nvSpPr>
                <xdr:cNvPr id="111" name="TextBox 110">
                  <a:extLst>
                    <a:ext uri="{FF2B5EF4-FFF2-40B4-BE49-F238E27FC236}">
                      <a16:creationId xmlns:a16="http://schemas.microsoft.com/office/drawing/2014/main" id="{00000000-0008-0000-0000-00006F000000}"/>
                    </a:ext>
                  </a:extLst>
                </xdr:cNvPr>
                <xdr:cNvSpPr txBox="1"/>
              </xdr:nvSpPr>
              <xdr:spPr>
                <a:xfrm>
                  <a:off x="3832514" y="3900378"/>
                  <a:ext cx="1426151" cy="5451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A4B57BB5-3502-4198-8B1E-D394E495833C}" type="TxLink">
                    <a:rPr lang="en-US" sz="1400" b="1" i="0" u="none" strike="noStrike">
                      <a:solidFill>
                        <a:srgbClr val="000000"/>
                      </a:solidFill>
                      <a:latin typeface="Calibri"/>
                    </a:rPr>
                    <a:pPr algn="ctr"/>
                    <a:t> </a:t>
                  </a:fld>
                  <a:endParaRPr lang="en-US" sz="1400" b="1"/>
                </a:p>
              </xdr:txBody>
            </xdr:sp>
          </xdr:grpSp>
          <xdr:cxnSp macro="">
            <xdr:nvCxnSpPr>
              <xdr:cNvPr id="107" name="Straight Connector 106">
                <a:extLst>
                  <a:ext uri="{FF2B5EF4-FFF2-40B4-BE49-F238E27FC236}">
                    <a16:creationId xmlns:a16="http://schemas.microsoft.com/office/drawing/2014/main" id="{00000000-0008-0000-0000-00006B000000}"/>
                  </a:ext>
                </a:extLst>
              </xdr:cNvPr>
              <xdr:cNvCxnSpPr/>
            </xdr:nvCxnSpPr>
            <xdr:spPr>
              <a:xfrm flipH="1" flipV="1">
                <a:off x="3522074" y="3006207"/>
                <a:ext cx="667" cy="286699"/>
              </a:xfrm>
              <a:prstGeom prst="line">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xnSp macro="">
          <xdr:nvCxnSpPr>
            <xdr:cNvPr id="118" name="Straight Arrow Connector 117">
              <a:extLst>
                <a:ext uri="{FF2B5EF4-FFF2-40B4-BE49-F238E27FC236}">
                  <a16:creationId xmlns:a16="http://schemas.microsoft.com/office/drawing/2014/main" id="{00000000-0008-0000-0000-000076000000}"/>
                </a:ext>
              </a:extLst>
            </xdr:cNvPr>
            <xdr:cNvCxnSpPr/>
          </xdr:nvCxnSpPr>
          <xdr:spPr>
            <a:xfrm>
              <a:off x="3331319" y="3097547"/>
              <a:ext cx="214363" cy="2047"/>
            </a:xfrm>
            <a:prstGeom prst="straightConnector1">
              <a:avLst/>
            </a:prstGeom>
            <a:ln w="12700">
              <a:solidFill>
                <a:sysClr val="windowText" lastClr="000000"/>
              </a:solidFill>
              <a:prstDash val="dash"/>
              <a:headEnd type="arrow"/>
              <a:tailEnd type="none"/>
            </a:ln>
          </xdr:spPr>
          <xdr:style>
            <a:lnRef idx="1">
              <a:schemeClr val="accent1"/>
            </a:lnRef>
            <a:fillRef idx="0">
              <a:schemeClr val="accent1"/>
            </a:fillRef>
            <a:effectRef idx="0">
              <a:schemeClr val="accent1"/>
            </a:effectRef>
            <a:fontRef idx="minor">
              <a:schemeClr val="tx1"/>
            </a:fontRef>
          </xdr:style>
        </xdr:cxnSp>
      </xdr:grpSp>
      <xdr:sp macro="" textlink="">
        <xdr:nvSpPr>
          <xdr:cNvPr id="147" name="TextBox 146">
            <a:extLst>
              <a:ext uri="{FF2B5EF4-FFF2-40B4-BE49-F238E27FC236}">
                <a16:creationId xmlns:a16="http://schemas.microsoft.com/office/drawing/2014/main" id="{00000000-0008-0000-0000-000093000000}"/>
              </a:ext>
            </a:extLst>
          </xdr:cNvPr>
          <xdr:cNvSpPr txBox="1"/>
        </xdr:nvSpPr>
        <xdr:spPr>
          <a:xfrm>
            <a:off x="5138530" y="3701707"/>
            <a:ext cx="402719" cy="2540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1100" b="0" i="0" u="none" strike="noStrike">
                <a:solidFill>
                  <a:srgbClr val="000000"/>
                </a:solidFill>
                <a:latin typeface="Calibri"/>
              </a:rPr>
              <a:t>6 ft</a:t>
            </a:r>
          </a:p>
        </xdr:txBody>
      </xdr:sp>
      <xdr:cxnSp macro="">
        <xdr:nvCxnSpPr>
          <xdr:cNvPr id="126" name="Straight Arrow Connector 125">
            <a:extLst>
              <a:ext uri="{FF2B5EF4-FFF2-40B4-BE49-F238E27FC236}">
                <a16:creationId xmlns:a16="http://schemas.microsoft.com/office/drawing/2014/main" id="{00000000-0008-0000-0000-00007E000000}"/>
              </a:ext>
            </a:extLst>
          </xdr:cNvPr>
          <xdr:cNvCxnSpPr/>
        </xdr:nvCxnSpPr>
        <xdr:spPr>
          <a:xfrm flipV="1">
            <a:off x="5476602" y="3830637"/>
            <a:ext cx="225030" cy="1"/>
          </a:xfrm>
          <a:prstGeom prst="straightConnector1">
            <a:avLst/>
          </a:prstGeom>
          <a:ln w="12700">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247650</xdr:colOff>
      <xdr:row>41</xdr:row>
      <xdr:rowOff>146050</xdr:rowOff>
    </xdr:from>
    <xdr:to>
      <xdr:col>3</xdr:col>
      <xdr:colOff>657225</xdr:colOff>
      <xdr:row>42</xdr:row>
      <xdr:rowOff>88900</xdr:rowOff>
    </xdr:to>
    <xdr:sp macro="" textlink="">
      <xdr:nvSpPr>
        <xdr:cNvPr id="112" name="TextBox 111">
          <a:hlinkClick xmlns:r="http://schemas.openxmlformats.org/officeDocument/2006/relationships" r:id="rId2"/>
          <a:extLst>
            <a:ext uri="{FF2B5EF4-FFF2-40B4-BE49-F238E27FC236}">
              <a16:creationId xmlns:a16="http://schemas.microsoft.com/office/drawing/2014/main" id="{00000000-0008-0000-0000-000070000000}"/>
            </a:ext>
          </a:extLst>
        </xdr:cNvPr>
        <xdr:cNvSpPr txBox="1"/>
      </xdr:nvSpPr>
      <xdr:spPr>
        <a:xfrm>
          <a:off x="3244850" y="8636000"/>
          <a:ext cx="409575" cy="127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lang="en-US" sz="800" b="0" i="0" u="sng" strike="noStrike">
              <a:solidFill>
                <a:srgbClr val="0000FF"/>
              </a:solidFill>
              <a:latin typeface="Calibri"/>
            </a:rPr>
            <a:t>Definition</a:t>
          </a:r>
        </a:p>
      </xdr:txBody>
    </xdr:sp>
    <xdr:clientData/>
  </xdr:twoCellAnchor>
  <xdr:twoCellAnchor>
    <xdr:from>
      <xdr:col>3</xdr:col>
      <xdr:colOff>247650</xdr:colOff>
      <xdr:row>43</xdr:row>
      <xdr:rowOff>146050</xdr:rowOff>
    </xdr:from>
    <xdr:to>
      <xdr:col>3</xdr:col>
      <xdr:colOff>657225</xdr:colOff>
      <xdr:row>44</xdr:row>
      <xdr:rowOff>88900</xdr:rowOff>
    </xdr:to>
    <xdr:sp macro="" textlink="">
      <xdr:nvSpPr>
        <xdr:cNvPr id="116" name="TextBox 115">
          <a:hlinkClick xmlns:r="http://schemas.openxmlformats.org/officeDocument/2006/relationships" r:id="rId3"/>
          <a:extLst>
            <a:ext uri="{FF2B5EF4-FFF2-40B4-BE49-F238E27FC236}">
              <a16:creationId xmlns:a16="http://schemas.microsoft.com/office/drawing/2014/main" id="{00000000-0008-0000-0000-000074000000}"/>
            </a:ext>
          </a:extLst>
        </xdr:cNvPr>
        <xdr:cNvSpPr txBox="1"/>
      </xdr:nvSpPr>
      <xdr:spPr>
        <a:xfrm>
          <a:off x="3244850" y="8947150"/>
          <a:ext cx="409575" cy="127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800" b="0" i="0" u="sng" strike="noStrike">
              <a:solidFill>
                <a:srgbClr val="0000FF"/>
              </a:solidFill>
              <a:latin typeface="Calibri"/>
            </a:rPr>
            <a:t>Definition</a:t>
          </a:r>
        </a:p>
      </xdr:txBody>
    </xdr:sp>
    <xdr:clientData/>
  </xdr:twoCellAnchor>
  <xdr:twoCellAnchor>
    <xdr:from>
      <xdr:col>3</xdr:col>
      <xdr:colOff>247650</xdr:colOff>
      <xdr:row>45</xdr:row>
      <xdr:rowOff>139700</xdr:rowOff>
    </xdr:from>
    <xdr:to>
      <xdr:col>3</xdr:col>
      <xdr:colOff>657225</xdr:colOff>
      <xdr:row>46</xdr:row>
      <xdr:rowOff>76200</xdr:rowOff>
    </xdr:to>
    <xdr:sp macro="" textlink="">
      <xdr:nvSpPr>
        <xdr:cNvPr id="117" name="TextBox 116">
          <a:hlinkClick xmlns:r="http://schemas.openxmlformats.org/officeDocument/2006/relationships" r:id="rId4"/>
          <a:extLst>
            <a:ext uri="{FF2B5EF4-FFF2-40B4-BE49-F238E27FC236}">
              <a16:creationId xmlns:a16="http://schemas.microsoft.com/office/drawing/2014/main" id="{00000000-0008-0000-0000-000075000000}"/>
            </a:ext>
          </a:extLst>
        </xdr:cNvPr>
        <xdr:cNvSpPr txBox="1"/>
      </xdr:nvSpPr>
      <xdr:spPr>
        <a:xfrm>
          <a:off x="3244850" y="9251950"/>
          <a:ext cx="409575" cy="127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800" b="0" i="0" u="sng" strike="noStrike">
              <a:solidFill>
                <a:srgbClr val="0000FF"/>
              </a:solidFill>
              <a:latin typeface="Calibri"/>
            </a:rPr>
            <a:t>Definition</a:t>
          </a:r>
        </a:p>
      </xdr:txBody>
    </xdr:sp>
    <xdr:clientData/>
  </xdr:twoCellAnchor>
  <xdr:twoCellAnchor>
    <xdr:from>
      <xdr:col>3</xdr:col>
      <xdr:colOff>247650</xdr:colOff>
      <xdr:row>47</xdr:row>
      <xdr:rowOff>158750</xdr:rowOff>
    </xdr:from>
    <xdr:to>
      <xdr:col>4</xdr:col>
      <xdr:colOff>2381</xdr:colOff>
      <xdr:row>49</xdr:row>
      <xdr:rowOff>23812</xdr:rowOff>
    </xdr:to>
    <xdr:sp macro="" textlink="">
      <xdr:nvSpPr>
        <xdr:cNvPr id="120" name="TextBox 119">
          <a:hlinkClick xmlns:r="http://schemas.openxmlformats.org/officeDocument/2006/relationships" r:id="rId5"/>
          <a:extLst>
            <a:ext uri="{FF2B5EF4-FFF2-40B4-BE49-F238E27FC236}">
              <a16:creationId xmlns:a16="http://schemas.microsoft.com/office/drawing/2014/main" id="{00000000-0008-0000-0000-000078000000}"/>
            </a:ext>
          </a:extLst>
        </xdr:cNvPr>
        <xdr:cNvSpPr txBox="1"/>
      </xdr:nvSpPr>
      <xdr:spPr>
        <a:xfrm>
          <a:off x="3236119" y="9481344"/>
          <a:ext cx="409575" cy="1627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800" b="0" i="0" u="sng" strike="noStrike">
              <a:solidFill>
                <a:srgbClr val="0000FF"/>
              </a:solidFill>
              <a:latin typeface="Calibri"/>
            </a:rPr>
            <a:t>Definition</a:t>
          </a:r>
        </a:p>
      </xdr:txBody>
    </xdr:sp>
    <xdr:clientData/>
  </xdr:twoCellAnchor>
  <xdr:twoCellAnchor>
    <xdr:from>
      <xdr:col>3</xdr:col>
      <xdr:colOff>247650</xdr:colOff>
      <xdr:row>49</xdr:row>
      <xdr:rowOff>146050</xdr:rowOff>
    </xdr:from>
    <xdr:to>
      <xdr:col>3</xdr:col>
      <xdr:colOff>657225</xdr:colOff>
      <xdr:row>50</xdr:row>
      <xdr:rowOff>88900</xdr:rowOff>
    </xdr:to>
    <xdr:sp macro="" textlink="">
      <xdr:nvSpPr>
        <xdr:cNvPr id="123" name="TextBox 122">
          <a:hlinkClick xmlns:r="http://schemas.openxmlformats.org/officeDocument/2006/relationships" r:id="rId6"/>
          <a:extLst>
            <a:ext uri="{FF2B5EF4-FFF2-40B4-BE49-F238E27FC236}">
              <a16:creationId xmlns:a16="http://schemas.microsoft.com/office/drawing/2014/main" id="{00000000-0008-0000-0000-00007B000000}"/>
            </a:ext>
          </a:extLst>
        </xdr:cNvPr>
        <xdr:cNvSpPr txBox="1"/>
      </xdr:nvSpPr>
      <xdr:spPr>
        <a:xfrm>
          <a:off x="3244850" y="9886950"/>
          <a:ext cx="409575" cy="127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800" b="0" i="0" u="sng" strike="noStrike">
              <a:solidFill>
                <a:srgbClr val="0000FF"/>
              </a:solidFill>
              <a:latin typeface="Calibri"/>
            </a:rPr>
            <a:t>Definition</a:t>
          </a:r>
        </a:p>
      </xdr:txBody>
    </xdr:sp>
    <xdr:clientData/>
  </xdr:twoCellAnchor>
  <xdr:twoCellAnchor>
    <xdr:from>
      <xdr:col>3</xdr:col>
      <xdr:colOff>247650</xdr:colOff>
      <xdr:row>51</xdr:row>
      <xdr:rowOff>152400</xdr:rowOff>
    </xdr:from>
    <xdr:to>
      <xdr:col>3</xdr:col>
      <xdr:colOff>657225</xdr:colOff>
      <xdr:row>52</xdr:row>
      <xdr:rowOff>95250</xdr:rowOff>
    </xdr:to>
    <xdr:sp macro="" textlink="">
      <xdr:nvSpPr>
        <xdr:cNvPr id="124" name="TextBox 123">
          <a:hlinkClick xmlns:r="http://schemas.openxmlformats.org/officeDocument/2006/relationships" r:id="rId7"/>
          <a:extLst>
            <a:ext uri="{FF2B5EF4-FFF2-40B4-BE49-F238E27FC236}">
              <a16:creationId xmlns:a16="http://schemas.microsoft.com/office/drawing/2014/main" id="{00000000-0008-0000-0000-00007C000000}"/>
            </a:ext>
          </a:extLst>
        </xdr:cNvPr>
        <xdr:cNvSpPr txBox="1"/>
      </xdr:nvSpPr>
      <xdr:spPr>
        <a:xfrm>
          <a:off x="3244850" y="10204450"/>
          <a:ext cx="409575" cy="127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800" b="0" i="0" u="sng" strike="noStrike">
              <a:solidFill>
                <a:srgbClr val="0000FF"/>
              </a:solidFill>
              <a:latin typeface="Calibri"/>
            </a:rPr>
            <a:t>Definition</a:t>
          </a:r>
        </a:p>
      </xdr:txBody>
    </xdr:sp>
    <xdr:clientData/>
  </xdr:twoCellAnchor>
  <xdr:twoCellAnchor>
    <xdr:from>
      <xdr:col>3</xdr:col>
      <xdr:colOff>247650</xdr:colOff>
      <xdr:row>53</xdr:row>
      <xdr:rowOff>152400</xdr:rowOff>
    </xdr:from>
    <xdr:to>
      <xdr:col>3</xdr:col>
      <xdr:colOff>657225</xdr:colOff>
      <xdr:row>54</xdr:row>
      <xdr:rowOff>95250</xdr:rowOff>
    </xdr:to>
    <xdr:sp macro="" textlink="">
      <xdr:nvSpPr>
        <xdr:cNvPr id="125" name="TextBox 124">
          <a:hlinkClick xmlns:r="http://schemas.openxmlformats.org/officeDocument/2006/relationships" r:id="rId8"/>
          <a:extLst>
            <a:ext uri="{FF2B5EF4-FFF2-40B4-BE49-F238E27FC236}">
              <a16:creationId xmlns:a16="http://schemas.microsoft.com/office/drawing/2014/main" id="{00000000-0008-0000-0000-00007D000000}"/>
            </a:ext>
          </a:extLst>
        </xdr:cNvPr>
        <xdr:cNvSpPr txBox="1"/>
      </xdr:nvSpPr>
      <xdr:spPr>
        <a:xfrm>
          <a:off x="3244850" y="10515600"/>
          <a:ext cx="409575" cy="127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800" b="0" i="0" u="sng" strike="noStrike">
              <a:solidFill>
                <a:srgbClr val="0000FF"/>
              </a:solidFill>
              <a:latin typeface="Calibri"/>
            </a:rPr>
            <a:t>Definition</a:t>
          </a:r>
        </a:p>
      </xdr:txBody>
    </xdr:sp>
    <xdr:clientData/>
  </xdr:twoCellAnchor>
  <xdr:twoCellAnchor>
    <xdr:from>
      <xdr:col>2</xdr:col>
      <xdr:colOff>25400</xdr:colOff>
      <xdr:row>59</xdr:row>
      <xdr:rowOff>215900</xdr:rowOff>
    </xdr:from>
    <xdr:to>
      <xdr:col>2</xdr:col>
      <xdr:colOff>434975</xdr:colOff>
      <xdr:row>60</xdr:row>
      <xdr:rowOff>95250</xdr:rowOff>
    </xdr:to>
    <xdr:sp macro="" textlink="">
      <xdr:nvSpPr>
        <xdr:cNvPr id="127" name="TextBox 126">
          <a:hlinkClick xmlns:r="http://schemas.openxmlformats.org/officeDocument/2006/relationships" r:id="rId9"/>
          <a:extLst>
            <a:ext uri="{FF2B5EF4-FFF2-40B4-BE49-F238E27FC236}">
              <a16:creationId xmlns:a16="http://schemas.microsoft.com/office/drawing/2014/main" id="{00000000-0008-0000-0000-00007F000000}"/>
            </a:ext>
          </a:extLst>
        </xdr:cNvPr>
        <xdr:cNvSpPr txBox="1"/>
      </xdr:nvSpPr>
      <xdr:spPr>
        <a:xfrm>
          <a:off x="2584450" y="11080750"/>
          <a:ext cx="409575" cy="127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800" b="0" i="0" u="sng" strike="noStrike">
              <a:solidFill>
                <a:srgbClr val="0000FF"/>
              </a:solidFill>
              <a:latin typeface="Calibri"/>
            </a:rPr>
            <a:t>Definition</a:t>
          </a:r>
        </a:p>
      </xdr:txBody>
    </xdr:sp>
    <xdr:clientData/>
  </xdr:twoCellAnchor>
  <xdr:twoCellAnchor>
    <xdr:from>
      <xdr:col>2</xdr:col>
      <xdr:colOff>25400</xdr:colOff>
      <xdr:row>60</xdr:row>
      <xdr:rowOff>228600</xdr:rowOff>
    </xdr:from>
    <xdr:to>
      <xdr:col>2</xdr:col>
      <xdr:colOff>434975</xdr:colOff>
      <xdr:row>61</xdr:row>
      <xdr:rowOff>107950</xdr:rowOff>
    </xdr:to>
    <xdr:sp macro="" textlink="">
      <xdr:nvSpPr>
        <xdr:cNvPr id="156" name="TextBox 155">
          <a:hlinkClick xmlns:r="http://schemas.openxmlformats.org/officeDocument/2006/relationships" r:id="rId10"/>
          <a:extLst>
            <a:ext uri="{FF2B5EF4-FFF2-40B4-BE49-F238E27FC236}">
              <a16:creationId xmlns:a16="http://schemas.microsoft.com/office/drawing/2014/main" id="{00000000-0008-0000-0000-00009C000000}"/>
            </a:ext>
          </a:extLst>
        </xdr:cNvPr>
        <xdr:cNvSpPr txBox="1"/>
      </xdr:nvSpPr>
      <xdr:spPr>
        <a:xfrm>
          <a:off x="2584450" y="11341100"/>
          <a:ext cx="409575" cy="127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800" b="0" i="0" u="sng" strike="noStrike">
              <a:solidFill>
                <a:srgbClr val="0000FF"/>
              </a:solidFill>
              <a:latin typeface="Calibri"/>
            </a:rPr>
            <a:t>Definition</a:t>
          </a:r>
        </a:p>
      </xdr:txBody>
    </xdr:sp>
    <xdr:clientData/>
  </xdr:twoCellAnchor>
  <xdr:twoCellAnchor>
    <xdr:from>
      <xdr:col>2</xdr:col>
      <xdr:colOff>25400</xdr:colOff>
      <xdr:row>61</xdr:row>
      <xdr:rowOff>228600</xdr:rowOff>
    </xdr:from>
    <xdr:to>
      <xdr:col>2</xdr:col>
      <xdr:colOff>434975</xdr:colOff>
      <xdr:row>62</xdr:row>
      <xdr:rowOff>107950</xdr:rowOff>
    </xdr:to>
    <xdr:sp macro="" textlink="">
      <xdr:nvSpPr>
        <xdr:cNvPr id="158" name="TextBox 157">
          <a:hlinkClick xmlns:r="http://schemas.openxmlformats.org/officeDocument/2006/relationships" r:id="rId11"/>
          <a:extLst>
            <a:ext uri="{FF2B5EF4-FFF2-40B4-BE49-F238E27FC236}">
              <a16:creationId xmlns:a16="http://schemas.microsoft.com/office/drawing/2014/main" id="{00000000-0008-0000-0000-00009E000000}"/>
            </a:ext>
          </a:extLst>
        </xdr:cNvPr>
        <xdr:cNvSpPr txBox="1"/>
      </xdr:nvSpPr>
      <xdr:spPr>
        <a:xfrm>
          <a:off x="2584450" y="11588750"/>
          <a:ext cx="409575" cy="127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800" b="0" i="0" u="sng" strike="noStrike">
              <a:solidFill>
                <a:srgbClr val="0000FF"/>
              </a:solidFill>
              <a:latin typeface="Calibri"/>
            </a:rPr>
            <a:t>Definition</a:t>
          </a:r>
        </a:p>
      </xdr:txBody>
    </xdr:sp>
    <xdr:clientData/>
  </xdr:twoCellAnchor>
  <xdr:twoCellAnchor>
    <xdr:from>
      <xdr:col>2</xdr:col>
      <xdr:colOff>25400</xdr:colOff>
      <xdr:row>62</xdr:row>
      <xdr:rowOff>228600</xdr:rowOff>
    </xdr:from>
    <xdr:to>
      <xdr:col>2</xdr:col>
      <xdr:colOff>434975</xdr:colOff>
      <xdr:row>63</xdr:row>
      <xdr:rowOff>107950</xdr:rowOff>
    </xdr:to>
    <xdr:sp macro="" textlink="">
      <xdr:nvSpPr>
        <xdr:cNvPr id="159" name="TextBox 158">
          <a:hlinkClick xmlns:r="http://schemas.openxmlformats.org/officeDocument/2006/relationships" r:id="rId12"/>
          <a:extLst>
            <a:ext uri="{FF2B5EF4-FFF2-40B4-BE49-F238E27FC236}">
              <a16:creationId xmlns:a16="http://schemas.microsoft.com/office/drawing/2014/main" id="{00000000-0008-0000-0000-00009F000000}"/>
            </a:ext>
          </a:extLst>
        </xdr:cNvPr>
        <xdr:cNvSpPr txBox="1"/>
      </xdr:nvSpPr>
      <xdr:spPr>
        <a:xfrm>
          <a:off x="2584450" y="11836400"/>
          <a:ext cx="409575" cy="127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800" b="0" i="0" u="sng" strike="noStrike">
              <a:solidFill>
                <a:srgbClr val="0000FF"/>
              </a:solidFill>
              <a:latin typeface="Calibri"/>
            </a:rPr>
            <a:t>Definition</a:t>
          </a:r>
        </a:p>
      </xdr:txBody>
    </xdr:sp>
    <xdr:clientData/>
  </xdr:twoCellAnchor>
  <xdr:twoCellAnchor>
    <xdr:from>
      <xdr:col>2</xdr:col>
      <xdr:colOff>25400</xdr:colOff>
      <xdr:row>63</xdr:row>
      <xdr:rowOff>209550</xdr:rowOff>
    </xdr:from>
    <xdr:to>
      <xdr:col>2</xdr:col>
      <xdr:colOff>434975</xdr:colOff>
      <xdr:row>64</xdr:row>
      <xdr:rowOff>88900</xdr:rowOff>
    </xdr:to>
    <xdr:sp macro="" textlink="">
      <xdr:nvSpPr>
        <xdr:cNvPr id="164" name="TextBox 163">
          <a:hlinkClick xmlns:r="http://schemas.openxmlformats.org/officeDocument/2006/relationships" r:id="rId13"/>
          <a:extLst>
            <a:ext uri="{FF2B5EF4-FFF2-40B4-BE49-F238E27FC236}">
              <a16:creationId xmlns:a16="http://schemas.microsoft.com/office/drawing/2014/main" id="{00000000-0008-0000-0000-0000A4000000}"/>
            </a:ext>
          </a:extLst>
        </xdr:cNvPr>
        <xdr:cNvSpPr txBox="1"/>
      </xdr:nvSpPr>
      <xdr:spPr>
        <a:xfrm>
          <a:off x="2584450" y="12065000"/>
          <a:ext cx="409575" cy="127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800" b="0" i="0" u="sng" strike="noStrike">
              <a:solidFill>
                <a:srgbClr val="0000FF"/>
              </a:solidFill>
              <a:latin typeface="Calibri"/>
            </a:rPr>
            <a:t>Definition</a:t>
          </a:r>
        </a:p>
      </xdr:txBody>
    </xdr:sp>
    <xdr:clientData/>
  </xdr:twoCellAnchor>
  <xdr:twoCellAnchor>
    <xdr:from>
      <xdr:col>2</xdr:col>
      <xdr:colOff>25400</xdr:colOff>
      <xdr:row>64</xdr:row>
      <xdr:rowOff>220518</xdr:rowOff>
    </xdr:from>
    <xdr:to>
      <xdr:col>2</xdr:col>
      <xdr:colOff>434975</xdr:colOff>
      <xdr:row>65</xdr:row>
      <xdr:rowOff>101984</xdr:rowOff>
    </xdr:to>
    <xdr:sp macro="" textlink="">
      <xdr:nvSpPr>
        <xdr:cNvPr id="166" name="TextBox 165">
          <a:hlinkClick xmlns:r="http://schemas.openxmlformats.org/officeDocument/2006/relationships" r:id="rId14"/>
          <a:extLst>
            <a:ext uri="{FF2B5EF4-FFF2-40B4-BE49-F238E27FC236}">
              <a16:creationId xmlns:a16="http://schemas.microsoft.com/office/drawing/2014/main" id="{00000000-0008-0000-0000-0000A6000000}"/>
            </a:ext>
          </a:extLst>
        </xdr:cNvPr>
        <xdr:cNvSpPr txBox="1"/>
      </xdr:nvSpPr>
      <xdr:spPr>
        <a:xfrm>
          <a:off x="2579832" y="12611677"/>
          <a:ext cx="409575" cy="1325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800" b="0" i="0" u="sng" strike="noStrike">
              <a:solidFill>
                <a:srgbClr val="0000FF"/>
              </a:solidFill>
              <a:latin typeface="+mn-lt"/>
            </a:rPr>
            <a:t>Definition</a:t>
          </a:r>
        </a:p>
      </xdr:txBody>
    </xdr:sp>
    <xdr:clientData/>
  </xdr:twoCellAnchor>
  <xdr:twoCellAnchor>
    <xdr:from>
      <xdr:col>4</xdr:col>
      <xdr:colOff>254000</xdr:colOff>
      <xdr:row>69</xdr:row>
      <xdr:rowOff>158750</xdr:rowOff>
    </xdr:from>
    <xdr:to>
      <xdr:col>4</xdr:col>
      <xdr:colOff>663575</xdr:colOff>
      <xdr:row>70</xdr:row>
      <xdr:rowOff>95250</xdr:rowOff>
    </xdr:to>
    <xdr:sp macro="" textlink="">
      <xdr:nvSpPr>
        <xdr:cNvPr id="168" name="TextBox 167">
          <a:hlinkClick xmlns:r="http://schemas.openxmlformats.org/officeDocument/2006/relationships" r:id="rId15"/>
          <a:extLst>
            <a:ext uri="{FF2B5EF4-FFF2-40B4-BE49-F238E27FC236}">
              <a16:creationId xmlns:a16="http://schemas.microsoft.com/office/drawing/2014/main" id="{00000000-0008-0000-0000-0000A8000000}"/>
            </a:ext>
          </a:extLst>
        </xdr:cNvPr>
        <xdr:cNvSpPr txBox="1"/>
      </xdr:nvSpPr>
      <xdr:spPr>
        <a:xfrm>
          <a:off x="3911600" y="13138150"/>
          <a:ext cx="409575" cy="127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800" b="0" i="0" u="sng" strike="noStrike">
              <a:solidFill>
                <a:srgbClr val="0000FF"/>
              </a:solidFill>
              <a:latin typeface="Calibri"/>
            </a:rPr>
            <a:t>Definition</a:t>
          </a:r>
        </a:p>
      </xdr:txBody>
    </xdr:sp>
    <xdr:clientData/>
  </xdr:twoCellAnchor>
  <xdr:twoCellAnchor>
    <xdr:from>
      <xdr:col>4</xdr:col>
      <xdr:colOff>254000</xdr:colOff>
      <xdr:row>71</xdr:row>
      <xdr:rowOff>158750</xdr:rowOff>
    </xdr:from>
    <xdr:to>
      <xdr:col>4</xdr:col>
      <xdr:colOff>663575</xdr:colOff>
      <xdr:row>72</xdr:row>
      <xdr:rowOff>95250</xdr:rowOff>
    </xdr:to>
    <xdr:sp macro="" textlink="">
      <xdr:nvSpPr>
        <xdr:cNvPr id="170" name="TextBox 169">
          <a:hlinkClick xmlns:r="http://schemas.openxmlformats.org/officeDocument/2006/relationships" r:id="rId16"/>
          <a:extLst>
            <a:ext uri="{FF2B5EF4-FFF2-40B4-BE49-F238E27FC236}">
              <a16:creationId xmlns:a16="http://schemas.microsoft.com/office/drawing/2014/main" id="{00000000-0008-0000-0000-0000AA000000}"/>
            </a:ext>
          </a:extLst>
        </xdr:cNvPr>
        <xdr:cNvSpPr txBox="1"/>
      </xdr:nvSpPr>
      <xdr:spPr>
        <a:xfrm>
          <a:off x="3911600" y="13455650"/>
          <a:ext cx="409575" cy="127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800" b="0" i="0" u="sng" strike="noStrike">
              <a:solidFill>
                <a:srgbClr val="0000FF"/>
              </a:solidFill>
              <a:latin typeface="Calibri"/>
            </a:rPr>
            <a:t>Definition</a:t>
          </a:r>
        </a:p>
      </xdr:txBody>
    </xdr:sp>
    <xdr:clientData/>
  </xdr:twoCellAnchor>
  <xdr:twoCellAnchor>
    <xdr:from>
      <xdr:col>4</xdr:col>
      <xdr:colOff>254000</xdr:colOff>
      <xdr:row>73</xdr:row>
      <xdr:rowOff>158750</xdr:rowOff>
    </xdr:from>
    <xdr:to>
      <xdr:col>4</xdr:col>
      <xdr:colOff>663575</xdr:colOff>
      <xdr:row>74</xdr:row>
      <xdr:rowOff>95250</xdr:rowOff>
    </xdr:to>
    <xdr:sp macro="" textlink="">
      <xdr:nvSpPr>
        <xdr:cNvPr id="171" name="TextBox 170">
          <a:hlinkClick xmlns:r="http://schemas.openxmlformats.org/officeDocument/2006/relationships" r:id="rId17"/>
          <a:extLst>
            <a:ext uri="{FF2B5EF4-FFF2-40B4-BE49-F238E27FC236}">
              <a16:creationId xmlns:a16="http://schemas.microsoft.com/office/drawing/2014/main" id="{00000000-0008-0000-0000-0000AB000000}"/>
            </a:ext>
          </a:extLst>
        </xdr:cNvPr>
        <xdr:cNvSpPr txBox="1"/>
      </xdr:nvSpPr>
      <xdr:spPr>
        <a:xfrm>
          <a:off x="3911600" y="13773150"/>
          <a:ext cx="409575" cy="127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800" b="0" i="0" u="sng" strike="noStrike">
              <a:solidFill>
                <a:srgbClr val="0000FF"/>
              </a:solidFill>
              <a:latin typeface="Calibri"/>
            </a:rPr>
            <a:t>Definition</a:t>
          </a:r>
        </a:p>
      </xdr:txBody>
    </xdr:sp>
    <xdr:clientData/>
  </xdr:twoCellAnchor>
  <xdr:twoCellAnchor>
    <xdr:from>
      <xdr:col>4</xdr:col>
      <xdr:colOff>254000</xdr:colOff>
      <xdr:row>79</xdr:row>
      <xdr:rowOff>177800</xdr:rowOff>
    </xdr:from>
    <xdr:to>
      <xdr:col>4</xdr:col>
      <xdr:colOff>663575</xdr:colOff>
      <xdr:row>80</xdr:row>
      <xdr:rowOff>114300</xdr:rowOff>
    </xdr:to>
    <xdr:sp macro="" textlink="">
      <xdr:nvSpPr>
        <xdr:cNvPr id="172" name="TextBox 171">
          <a:hlinkClick xmlns:r="http://schemas.openxmlformats.org/officeDocument/2006/relationships" r:id="rId18"/>
          <a:extLst>
            <a:ext uri="{FF2B5EF4-FFF2-40B4-BE49-F238E27FC236}">
              <a16:creationId xmlns:a16="http://schemas.microsoft.com/office/drawing/2014/main" id="{00000000-0008-0000-0000-0000AC000000}"/>
            </a:ext>
          </a:extLst>
        </xdr:cNvPr>
        <xdr:cNvSpPr txBox="1"/>
      </xdr:nvSpPr>
      <xdr:spPr>
        <a:xfrm>
          <a:off x="3905250" y="14243050"/>
          <a:ext cx="409575" cy="127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800" b="0" i="0" u="sng" strike="noStrike">
              <a:solidFill>
                <a:srgbClr val="0000FF"/>
              </a:solidFill>
              <a:latin typeface="Calibri"/>
            </a:rPr>
            <a:t>Definition</a:t>
          </a:r>
        </a:p>
      </xdr:txBody>
    </xdr:sp>
    <xdr:clientData/>
  </xdr:twoCellAnchor>
  <xdr:twoCellAnchor>
    <xdr:from>
      <xdr:col>4</xdr:col>
      <xdr:colOff>254000</xdr:colOff>
      <xdr:row>81</xdr:row>
      <xdr:rowOff>158750</xdr:rowOff>
    </xdr:from>
    <xdr:to>
      <xdr:col>4</xdr:col>
      <xdr:colOff>663575</xdr:colOff>
      <xdr:row>82</xdr:row>
      <xdr:rowOff>95250</xdr:rowOff>
    </xdr:to>
    <xdr:sp macro="" textlink="">
      <xdr:nvSpPr>
        <xdr:cNvPr id="173" name="TextBox 172">
          <a:hlinkClick xmlns:r="http://schemas.openxmlformats.org/officeDocument/2006/relationships" r:id="rId19"/>
          <a:extLst>
            <a:ext uri="{FF2B5EF4-FFF2-40B4-BE49-F238E27FC236}">
              <a16:creationId xmlns:a16="http://schemas.microsoft.com/office/drawing/2014/main" id="{00000000-0008-0000-0000-0000AD000000}"/>
            </a:ext>
          </a:extLst>
        </xdr:cNvPr>
        <xdr:cNvSpPr txBox="1"/>
      </xdr:nvSpPr>
      <xdr:spPr>
        <a:xfrm>
          <a:off x="3905250" y="14541500"/>
          <a:ext cx="409575" cy="127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800" b="0" i="0" u="sng" strike="noStrike">
              <a:solidFill>
                <a:srgbClr val="0000FF"/>
              </a:solidFill>
              <a:latin typeface="Calibri"/>
            </a:rPr>
            <a:t>Definition</a:t>
          </a:r>
        </a:p>
      </xdr:txBody>
    </xdr:sp>
    <xdr:clientData/>
  </xdr:twoCellAnchor>
  <xdr:twoCellAnchor>
    <xdr:from>
      <xdr:col>4</xdr:col>
      <xdr:colOff>254000</xdr:colOff>
      <xdr:row>83</xdr:row>
      <xdr:rowOff>158750</xdr:rowOff>
    </xdr:from>
    <xdr:to>
      <xdr:col>4</xdr:col>
      <xdr:colOff>663575</xdr:colOff>
      <xdr:row>84</xdr:row>
      <xdr:rowOff>95250</xdr:rowOff>
    </xdr:to>
    <xdr:sp macro="" textlink="">
      <xdr:nvSpPr>
        <xdr:cNvPr id="174" name="TextBox 173">
          <a:hlinkClick xmlns:r="http://schemas.openxmlformats.org/officeDocument/2006/relationships" r:id="rId20"/>
          <a:extLst>
            <a:ext uri="{FF2B5EF4-FFF2-40B4-BE49-F238E27FC236}">
              <a16:creationId xmlns:a16="http://schemas.microsoft.com/office/drawing/2014/main" id="{00000000-0008-0000-0000-0000AE000000}"/>
            </a:ext>
          </a:extLst>
        </xdr:cNvPr>
        <xdr:cNvSpPr txBox="1"/>
      </xdr:nvSpPr>
      <xdr:spPr>
        <a:xfrm>
          <a:off x="3911600" y="14916150"/>
          <a:ext cx="409575" cy="127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800" b="0" i="0" u="sng" strike="noStrike">
              <a:solidFill>
                <a:srgbClr val="0000FF"/>
              </a:solidFill>
              <a:latin typeface="Calibri"/>
            </a:rPr>
            <a:t>Definition</a:t>
          </a:r>
        </a:p>
      </xdr:txBody>
    </xdr:sp>
    <xdr:clientData/>
  </xdr:twoCellAnchor>
  <xdr:twoCellAnchor>
    <xdr:from>
      <xdr:col>4</xdr:col>
      <xdr:colOff>254000</xdr:colOff>
      <xdr:row>85</xdr:row>
      <xdr:rowOff>158750</xdr:rowOff>
    </xdr:from>
    <xdr:to>
      <xdr:col>4</xdr:col>
      <xdr:colOff>663575</xdr:colOff>
      <xdr:row>86</xdr:row>
      <xdr:rowOff>95250</xdr:rowOff>
    </xdr:to>
    <xdr:sp macro="" textlink="">
      <xdr:nvSpPr>
        <xdr:cNvPr id="175" name="TextBox 174">
          <a:hlinkClick xmlns:r="http://schemas.openxmlformats.org/officeDocument/2006/relationships" r:id="rId21"/>
          <a:extLst>
            <a:ext uri="{FF2B5EF4-FFF2-40B4-BE49-F238E27FC236}">
              <a16:creationId xmlns:a16="http://schemas.microsoft.com/office/drawing/2014/main" id="{00000000-0008-0000-0000-0000AF000000}"/>
            </a:ext>
          </a:extLst>
        </xdr:cNvPr>
        <xdr:cNvSpPr txBox="1"/>
      </xdr:nvSpPr>
      <xdr:spPr>
        <a:xfrm>
          <a:off x="3911600" y="15233650"/>
          <a:ext cx="409575" cy="127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800" b="0" i="0" u="sng" strike="noStrike">
              <a:solidFill>
                <a:srgbClr val="0000FF"/>
              </a:solidFill>
              <a:latin typeface="Calibri"/>
            </a:rPr>
            <a:t>Definition</a:t>
          </a:r>
        </a:p>
      </xdr:txBody>
    </xdr:sp>
    <xdr:clientData/>
  </xdr:twoCellAnchor>
  <xdr:twoCellAnchor>
    <xdr:from>
      <xdr:col>4</xdr:col>
      <xdr:colOff>254000</xdr:colOff>
      <xdr:row>87</xdr:row>
      <xdr:rowOff>158750</xdr:rowOff>
    </xdr:from>
    <xdr:to>
      <xdr:col>4</xdr:col>
      <xdr:colOff>663575</xdr:colOff>
      <xdr:row>88</xdr:row>
      <xdr:rowOff>133350</xdr:rowOff>
    </xdr:to>
    <xdr:sp macro="" textlink="">
      <xdr:nvSpPr>
        <xdr:cNvPr id="180" name="TextBox 179">
          <a:hlinkClick xmlns:r="http://schemas.openxmlformats.org/officeDocument/2006/relationships" r:id="rId22"/>
          <a:extLst>
            <a:ext uri="{FF2B5EF4-FFF2-40B4-BE49-F238E27FC236}">
              <a16:creationId xmlns:a16="http://schemas.microsoft.com/office/drawing/2014/main" id="{00000000-0008-0000-0000-0000B4000000}"/>
            </a:ext>
          </a:extLst>
        </xdr:cNvPr>
        <xdr:cNvSpPr txBox="1"/>
      </xdr:nvSpPr>
      <xdr:spPr>
        <a:xfrm>
          <a:off x="4168775" y="17751425"/>
          <a:ext cx="409575" cy="1651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800" b="0" i="0" u="sng" strike="noStrike">
              <a:solidFill>
                <a:srgbClr val="0000FF"/>
              </a:solidFill>
              <a:latin typeface="Calibri"/>
            </a:rPr>
            <a:t>Definition</a:t>
          </a:r>
        </a:p>
      </xdr:txBody>
    </xdr:sp>
    <xdr:clientData/>
  </xdr:twoCellAnchor>
  <xdr:twoCellAnchor>
    <xdr:from>
      <xdr:col>4</xdr:col>
      <xdr:colOff>254000</xdr:colOff>
      <xdr:row>90</xdr:row>
      <xdr:rowOff>174625</xdr:rowOff>
    </xdr:from>
    <xdr:to>
      <xdr:col>4</xdr:col>
      <xdr:colOff>663575</xdr:colOff>
      <xdr:row>91</xdr:row>
      <xdr:rowOff>111125</xdr:rowOff>
    </xdr:to>
    <xdr:sp macro="" textlink="">
      <xdr:nvSpPr>
        <xdr:cNvPr id="181" name="TextBox 180">
          <a:hlinkClick xmlns:r="http://schemas.openxmlformats.org/officeDocument/2006/relationships" r:id="rId23"/>
          <a:extLst>
            <a:ext uri="{FF2B5EF4-FFF2-40B4-BE49-F238E27FC236}">
              <a16:creationId xmlns:a16="http://schemas.microsoft.com/office/drawing/2014/main" id="{00000000-0008-0000-0000-0000B5000000}"/>
            </a:ext>
          </a:extLst>
        </xdr:cNvPr>
        <xdr:cNvSpPr txBox="1"/>
      </xdr:nvSpPr>
      <xdr:spPr>
        <a:xfrm>
          <a:off x="4159250" y="17843500"/>
          <a:ext cx="409575" cy="127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800" b="0" i="0" u="sng" strike="noStrike">
              <a:solidFill>
                <a:srgbClr val="0000FF"/>
              </a:solidFill>
              <a:latin typeface="Calibri"/>
            </a:rPr>
            <a:t>Definition</a:t>
          </a:r>
        </a:p>
      </xdr:txBody>
    </xdr:sp>
    <xdr:clientData/>
  </xdr:twoCellAnchor>
  <xdr:twoCellAnchor>
    <xdr:from>
      <xdr:col>4</xdr:col>
      <xdr:colOff>254000</xdr:colOff>
      <xdr:row>92</xdr:row>
      <xdr:rowOff>152400</xdr:rowOff>
    </xdr:from>
    <xdr:to>
      <xdr:col>4</xdr:col>
      <xdr:colOff>663575</xdr:colOff>
      <xdr:row>93</xdr:row>
      <xdr:rowOff>88900</xdr:rowOff>
    </xdr:to>
    <xdr:sp macro="" textlink="">
      <xdr:nvSpPr>
        <xdr:cNvPr id="182" name="TextBox 181">
          <a:hlinkClick xmlns:r="http://schemas.openxmlformats.org/officeDocument/2006/relationships" r:id="rId24"/>
          <a:extLst>
            <a:ext uri="{FF2B5EF4-FFF2-40B4-BE49-F238E27FC236}">
              <a16:creationId xmlns:a16="http://schemas.microsoft.com/office/drawing/2014/main" id="{00000000-0008-0000-0000-0000B6000000}"/>
            </a:ext>
          </a:extLst>
        </xdr:cNvPr>
        <xdr:cNvSpPr txBox="1"/>
      </xdr:nvSpPr>
      <xdr:spPr>
        <a:xfrm>
          <a:off x="3911600" y="17856200"/>
          <a:ext cx="409575" cy="127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800" b="0" i="0" u="sng" strike="noStrike">
              <a:solidFill>
                <a:srgbClr val="0000FF"/>
              </a:solidFill>
              <a:latin typeface="Calibri"/>
            </a:rPr>
            <a:t>Definition</a:t>
          </a:r>
        </a:p>
      </xdr:txBody>
    </xdr:sp>
    <xdr:clientData/>
  </xdr:twoCellAnchor>
  <xdr:twoCellAnchor>
    <xdr:from>
      <xdr:col>4</xdr:col>
      <xdr:colOff>254000</xdr:colOff>
      <xdr:row>94</xdr:row>
      <xdr:rowOff>152400</xdr:rowOff>
    </xdr:from>
    <xdr:to>
      <xdr:col>4</xdr:col>
      <xdr:colOff>663575</xdr:colOff>
      <xdr:row>95</xdr:row>
      <xdr:rowOff>88900</xdr:rowOff>
    </xdr:to>
    <xdr:sp macro="" textlink="">
      <xdr:nvSpPr>
        <xdr:cNvPr id="187" name="TextBox 186">
          <a:hlinkClick xmlns:r="http://schemas.openxmlformats.org/officeDocument/2006/relationships" r:id="rId25"/>
          <a:extLst>
            <a:ext uri="{FF2B5EF4-FFF2-40B4-BE49-F238E27FC236}">
              <a16:creationId xmlns:a16="http://schemas.microsoft.com/office/drawing/2014/main" id="{00000000-0008-0000-0000-0000BB000000}"/>
            </a:ext>
          </a:extLst>
        </xdr:cNvPr>
        <xdr:cNvSpPr txBox="1"/>
      </xdr:nvSpPr>
      <xdr:spPr>
        <a:xfrm>
          <a:off x="3911600" y="18173700"/>
          <a:ext cx="409575" cy="127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800" b="0" i="0" u="sng" strike="noStrike">
              <a:solidFill>
                <a:srgbClr val="0000FF"/>
              </a:solidFill>
              <a:latin typeface="Calibri"/>
            </a:rPr>
            <a:t>Definition</a:t>
          </a:r>
        </a:p>
      </xdr:txBody>
    </xdr:sp>
    <xdr:clientData/>
  </xdr:twoCellAnchor>
  <xdr:twoCellAnchor>
    <xdr:from>
      <xdr:col>4</xdr:col>
      <xdr:colOff>254000</xdr:colOff>
      <xdr:row>96</xdr:row>
      <xdr:rowOff>158750</xdr:rowOff>
    </xdr:from>
    <xdr:to>
      <xdr:col>4</xdr:col>
      <xdr:colOff>663575</xdr:colOff>
      <xdr:row>97</xdr:row>
      <xdr:rowOff>95250</xdr:rowOff>
    </xdr:to>
    <xdr:sp macro="" textlink="">
      <xdr:nvSpPr>
        <xdr:cNvPr id="190" name="TextBox 189">
          <a:hlinkClick xmlns:r="http://schemas.openxmlformats.org/officeDocument/2006/relationships" r:id="rId26"/>
          <a:extLst>
            <a:ext uri="{FF2B5EF4-FFF2-40B4-BE49-F238E27FC236}">
              <a16:creationId xmlns:a16="http://schemas.microsoft.com/office/drawing/2014/main" id="{00000000-0008-0000-0000-0000BE000000}"/>
            </a:ext>
          </a:extLst>
        </xdr:cNvPr>
        <xdr:cNvSpPr txBox="1"/>
      </xdr:nvSpPr>
      <xdr:spPr>
        <a:xfrm>
          <a:off x="3911600" y="18497550"/>
          <a:ext cx="409575" cy="127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800" b="0" i="0" u="sng" strike="noStrike">
              <a:solidFill>
                <a:srgbClr val="0000FF"/>
              </a:solidFill>
              <a:latin typeface="Calibri"/>
            </a:rPr>
            <a:t>Definition</a:t>
          </a:r>
        </a:p>
      </xdr:txBody>
    </xdr:sp>
    <xdr:clientData/>
  </xdr:twoCellAnchor>
  <xdr:twoCellAnchor>
    <xdr:from>
      <xdr:col>4</xdr:col>
      <xdr:colOff>254000</xdr:colOff>
      <xdr:row>98</xdr:row>
      <xdr:rowOff>152400</xdr:rowOff>
    </xdr:from>
    <xdr:to>
      <xdr:col>4</xdr:col>
      <xdr:colOff>663575</xdr:colOff>
      <xdr:row>99</xdr:row>
      <xdr:rowOff>88900</xdr:rowOff>
    </xdr:to>
    <xdr:sp macro="" textlink="">
      <xdr:nvSpPr>
        <xdr:cNvPr id="191" name="TextBox 190">
          <a:hlinkClick xmlns:r="http://schemas.openxmlformats.org/officeDocument/2006/relationships" r:id="rId27"/>
          <a:extLst>
            <a:ext uri="{FF2B5EF4-FFF2-40B4-BE49-F238E27FC236}">
              <a16:creationId xmlns:a16="http://schemas.microsoft.com/office/drawing/2014/main" id="{00000000-0008-0000-0000-0000BF000000}"/>
            </a:ext>
          </a:extLst>
        </xdr:cNvPr>
        <xdr:cNvSpPr txBox="1"/>
      </xdr:nvSpPr>
      <xdr:spPr>
        <a:xfrm>
          <a:off x="3911600" y="18808700"/>
          <a:ext cx="409575" cy="127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800" b="0" i="0" u="sng" strike="noStrike">
              <a:solidFill>
                <a:srgbClr val="0000FF"/>
              </a:solidFill>
              <a:latin typeface="Calibri"/>
            </a:rPr>
            <a:t>Definition</a:t>
          </a:r>
        </a:p>
      </xdr:txBody>
    </xdr:sp>
    <xdr:clientData/>
  </xdr:twoCellAnchor>
  <xdr:twoCellAnchor>
    <xdr:from>
      <xdr:col>4</xdr:col>
      <xdr:colOff>254000</xdr:colOff>
      <xdr:row>100</xdr:row>
      <xdr:rowOff>158750</xdr:rowOff>
    </xdr:from>
    <xdr:to>
      <xdr:col>4</xdr:col>
      <xdr:colOff>663575</xdr:colOff>
      <xdr:row>101</xdr:row>
      <xdr:rowOff>95250</xdr:rowOff>
    </xdr:to>
    <xdr:sp macro="" textlink="">
      <xdr:nvSpPr>
        <xdr:cNvPr id="192" name="TextBox 191">
          <a:hlinkClick xmlns:r="http://schemas.openxmlformats.org/officeDocument/2006/relationships" r:id="rId28"/>
          <a:extLst>
            <a:ext uri="{FF2B5EF4-FFF2-40B4-BE49-F238E27FC236}">
              <a16:creationId xmlns:a16="http://schemas.microsoft.com/office/drawing/2014/main" id="{00000000-0008-0000-0000-0000C0000000}"/>
            </a:ext>
          </a:extLst>
        </xdr:cNvPr>
        <xdr:cNvSpPr txBox="1"/>
      </xdr:nvSpPr>
      <xdr:spPr>
        <a:xfrm>
          <a:off x="3911600" y="19132550"/>
          <a:ext cx="409575" cy="127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800" b="0" i="0" u="sng" strike="noStrike">
              <a:solidFill>
                <a:srgbClr val="0000FF"/>
              </a:solidFill>
              <a:latin typeface="Calibri"/>
            </a:rPr>
            <a:t>Definition</a:t>
          </a:r>
        </a:p>
      </xdr:txBody>
    </xdr:sp>
    <xdr:clientData/>
  </xdr:twoCellAnchor>
  <xdr:twoCellAnchor>
    <xdr:from>
      <xdr:col>4</xdr:col>
      <xdr:colOff>254000</xdr:colOff>
      <xdr:row>102</xdr:row>
      <xdr:rowOff>152400</xdr:rowOff>
    </xdr:from>
    <xdr:to>
      <xdr:col>4</xdr:col>
      <xdr:colOff>663575</xdr:colOff>
      <xdr:row>103</xdr:row>
      <xdr:rowOff>88900</xdr:rowOff>
    </xdr:to>
    <xdr:sp macro="" textlink="">
      <xdr:nvSpPr>
        <xdr:cNvPr id="199" name="TextBox 198">
          <a:hlinkClick xmlns:r="http://schemas.openxmlformats.org/officeDocument/2006/relationships" r:id="rId29"/>
          <a:extLst>
            <a:ext uri="{FF2B5EF4-FFF2-40B4-BE49-F238E27FC236}">
              <a16:creationId xmlns:a16="http://schemas.microsoft.com/office/drawing/2014/main" id="{00000000-0008-0000-0000-0000C7000000}"/>
            </a:ext>
          </a:extLst>
        </xdr:cNvPr>
        <xdr:cNvSpPr txBox="1"/>
      </xdr:nvSpPr>
      <xdr:spPr>
        <a:xfrm>
          <a:off x="3911600" y="19443700"/>
          <a:ext cx="409575" cy="127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800" b="0" i="0" u="sng" strike="noStrike">
              <a:solidFill>
                <a:srgbClr val="0000FF"/>
              </a:solidFill>
              <a:latin typeface="Calibri"/>
            </a:rPr>
            <a:t>Definition</a:t>
          </a:r>
        </a:p>
      </xdr:txBody>
    </xdr:sp>
    <xdr:clientData/>
  </xdr:twoCellAnchor>
  <xdr:twoCellAnchor>
    <xdr:from>
      <xdr:col>4</xdr:col>
      <xdr:colOff>254000</xdr:colOff>
      <xdr:row>106</xdr:row>
      <xdr:rowOff>158750</xdr:rowOff>
    </xdr:from>
    <xdr:to>
      <xdr:col>4</xdr:col>
      <xdr:colOff>663575</xdr:colOff>
      <xdr:row>107</xdr:row>
      <xdr:rowOff>95250</xdr:rowOff>
    </xdr:to>
    <xdr:sp macro="" textlink="">
      <xdr:nvSpPr>
        <xdr:cNvPr id="200" name="TextBox 199">
          <a:hlinkClick xmlns:r="http://schemas.openxmlformats.org/officeDocument/2006/relationships" r:id="rId30"/>
          <a:extLst>
            <a:ext uri="{FF2B5EF4-FFF2-40B4-BE49-F238E27FC236}">
              <a16:creationId xmlns:a16="http://schemas.microsoft.com/office/drawing/2014/main" id="{00000000-0008-0000-0000-0000C8000000}"/>
            </a:ext>
          </a:extLst>
        </xdr:cNvPr>
        <xdr:cNvSpPr txBox="1"/>
      </xdr:nvSpPr>
      <xdr:spPr>
        <a:xfrm>
          <a:off x="3911600" y="19958050"/>
          <a:ext cx="409575" cy="127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800" b="0" i="0" u="sng" strike="noStrike">
              <a:solidFill>
                <a:srgbClr val="0000FF"/>
              </a:solidFill>
              <a:latin typeface="Calibri"/>
            </a:rPr>
            <a:t>Definition</a:t>
          </a:r>
        </a:p>
      </xdr:txBody>
    </xdr:sp>
    <xdr:clientData/>
  </xdr:twoCellAnchor>
  <xdr:twoCellAnchor>
    <xdr:from>
      <xdr:col>4</xdr:col>
      <xdr:colOff>254000</xdr:colOff>
      <xdr:row>108</xdr:row>
      <xdr:rowOff>152400</xdr:rowOff>
    </xdr:from>
    <xdr:to>
      <xdr:col>4</xdr:col>
      <xdr:colOff>663575</xdr:colOff>
      <xdr:row>109</xdr:row>
      <xdr:rowOff>88900</xdr:rowOff>
    </xdr:to>
    <xdr:sp macro="" textlink="">
      <xdr:nvSpPr>
        <xdr:cNvPr id="201" name="TextBox 200">
          <a:hlinkClick xmlns:r="http://schemas.openxmlformats.org/officeDocument/2006/relationships" r:id="rId31"/>
          <a:extLst>
            <a:ext uri="{FF2B5EF4-FFF2-40B4-BE49-F238E27FC236}">
              <a16:creationId xmlns:a16="http://schemas.microsoft.com/office/drawing/2014/main" id="{00000000-0008-0000-0000-0000C9000000}"/>
            </a:ext>
          </a:extLst>
        </xdr:cNvPr>
        <xdr:cNvSpPr txBox="1"/>
      </xdr:nvSpPr>
      <xdr:spPr>
        <a:xfrm>
          <a:off x="3911600" y="20269200"/>
          <a:ext cx="409575" cy="127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800" b="0" i="0" u="sng" strike="noStrike">
              <a:solidFill>
                <a:srgbClr val="0000FF"/>
              </a:solidFill>
              <a:latin typeface="Calibri"/>
            </a:rPr>
            <a:t>Definition</a:t>
          </a:r>
        </a:p>
      </xdr:txBody>
    </xdr:sp>
    <xdr:clientData/>
  </xdr:twoCellAnchor>
  <xdr:twoCellAnchor>
    <xdr:from>
      <xdr:col>4</xdr:col>
      <xdr:colOff>254000</xdr:colOff>
      <xdr:row>110</xdr:row>
      <xdr:rowOff>158750</xdr:rowOff>
    </xdr:from>
    <xdr:to>
      <xdr:col>4</xdr:col>
      <xdr:colOff>663575</xdr:colOff>
      <xdr:row>111</xdr:row>
      <xdr:rowOff>95250</xdr:rowOff>
    </xdr:to>
    <xdr:sp macro="" textlink="">
      <xdr:nvSpPr>
        <xdr:cNvPr id="202" name="TextBox 201">
          <a:hlinkClick xmlns:r="http://schemas.openxmlformats.org/officeDocument/2006/relationships" r:id="rId32"/>
          <a:extLst>
            <a:ext uri="{FF2B5EF4-FFF2-40B4-BE49-F238E27FC236}">
              <a16:creationId xmlns:a16="http://schemas.microsoft.com/office/drawing/2014/main" id="{00000000-0008-0000-0000-0000CA000000}"/>
            </a:ext>
          </a:extLst>
        </xdr:cNvPr>
        <xdr:cNvSpPr txBox="1"/>
      </xdr:nvSpPr>
      <xdr:spPr>
        <a:xfrm>
          <a:off x="3911600" y="20593050"/>
          <a:ext cx="409575" cy="127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800" b="0" i="0" u="sng" strike="noStrike">
              <a:solidFill>
                <a:srgbClr val="0000FF"/>
              </a:solidFill>
              <a:latin typeface="Calibri"/>
            </a:rPr>
            <a:t>Definition</a:t>
          </a:r>
        </a:p>
      </xdr:txBody>
    </xdr:sp>
    <xdr:clientData/>
  </xdr:twoCellAnchor>
  <xdr:twoCellAnchor>
    <xdr:from>
      <xdr:col>4</xdr:col>
      <xdr:colOff>254000</xdr:colOff>
      <xdr:row>112</xdr:row>
      <xdr:rowOff>158750</xdr:rowOff>
    </xdr:from>
    <xdr:to>
      <xdr:col>4</xdr:col>
      <xdr:colOff>663575</xdr:colOff>
      <xdr:row>113</xdr:row>
      <xdr:rowOff>95250</xdr:rowOff>
    </xdr:to>
    <xdr:sp macro="" textlink="">
      <xdr:nvSpPr>
        <xdr:cNvPr id="203" name="TextBox 202">
          <a:hlinkClick xmlns:r="http://schemas.openxmlformats.org/officeDocument/2006/relationships" r:id="rId33"/>
          <a:extLst>
            <a:ext uri="{FF2B5EF4-FFF2-40B4-BE49-F238E27FC236}">
              <a16:creationId xmlns:a16="http://schemas.microsoft.com/office/drawing/2014/main" id="{00000000-0008-0000-0000-0000CB000000}"/>
            </a:ext>
          </a:extLst>
        </xdr:cNvPr>
        <xdr:cNvSpPr txBox="1"/>
      </xdr:nvSpPr>
      <xdr:spPr>
        <a:xfrm>
          <a:off x="3911600" y="20910550"/>
          <a:ext cx="409575" cy="127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800" b="0" i="0" u="sng" strike="noStrike">
              <a:solidFill>
                <a:srgbClr val="0000FF"/>
              </a:solidFill>
              <a:latin typeface="Calibri"/>
            </a:rPr>
            <a:t>Definition</a:t>
          </a:r>
        </a:p>
      </xdr:txBody>
    </xdr:sp>
    <xdr:clientData/>
  </xdr:twoCellAnchor>
  <xdr:twoCellAnchor>
    <xdr:from>
      <xdr:col>4</xdr:col>
      <xdr:colOff>254000</xdr:colOff>
      <xdr:row>114</xdr:row>
      <xdr:rowOff>158750</xdr:rowOff>
    </xdr:from>
    <xdr:to>
      <xdr:col>4</xdr:col>
      <xdr:colOff>663575</xdr:colOff>
      <xdr:row>115</xdr:row>
      <xdr:rowOff>95250</xdr:rowOff>
    </xdr:to>
    <xdr:sp macro="" textlink="">
      <xdr:nvSpPr>
        <xdr:cNvPr id="204" name="TextBox 203">
          <a:hlinkClick xmlns:r="http://schemas.openxmlformats.org/officeDocument/2006/relationships" r:id="rId34"/>
          <a:extLst>
            <a:ext uri="{FF2B5EF4-FFF2-40B4-BE49-F238E27FC236}">
              <a16:creationId xmlns:a16="http://schemas.microsoft.com/office/drawing/2014/main" id="{00000000-0008-0000-0000-0000CC000000}"/>
            </a:ext>
          </a:extLst>
        </xdr:cNvPr>
        <xdr:cNvSpPr txBox="1"/>
      </xdr:nvSpPr>
      <xdr:spPr>
        <a:xfrm>
          <a:off x="3911600" y="21228050"/>
          <a:ext cx="409575" cy="127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800" b="0" i="0" u="sng" strike="noStrike">
              <a:solidFill>
                <a:srgbClr val="0000FF"/>
              </a:solidFill>
              <a:latin typeface="Calibri"/>
            </a:rPr>
            <a:t>Definition</a:t>
          </a:r>
        </a:p>
      </xdr:txBody>
    </xdr:sp>
    <xdr:clientData/>
  </xdr:twoCellAnchor>
  <xdr:twoCellAnchor>
    <xdr:from>
      <xdr:col>4</xdr:col>
      <xdr:colOff>254000</xdr:colOff>
      <xdr:row>122</xdr:row>
      <xdr:rowOff>165100</xdr:rowOff>
    </xdr:from>
    <xdr:to>
      <xdr:col>4</xdr:col>
      <xdr:colOff>663575</xdr:colOff>
      <xdr:row>123</xdr:row>
      <xdr:rowOff>101600</xdr:rowOff>
    </xdr:to>
    <xdr:sp macro="" textlink="">
      <xdr:nvSpPr>
        <xdr:cNvPr id="205" name="TextBox 204">
          <a:hlinkClick xmlns:r="http://schemas.openxmlformats.org/officeDocument/2006/relationships" r:id="rId35"/>
          <a:extLst>
            <a:ext uri="{FF2B5EF4-FFF2-40B4-BE49-F238E27FC236}">
              <a16:creationId xmlns:a16="http://schemas.microsoft.com/office/drawing/2014/main" id="{00000000-0008-0000-0000-0000CD000000}"/>
            </a:ext>
          </a:extLst>
        </xdr:cNvPr>
        <xdr:cNvSpPr txBox="1"/>
      </xdr:nvSpPr>
      <xdr:spPr>
        <a:xfrm>
          <a:off x="3911600" y="21742400"/>
          <a:ext cx="409575" cy="127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800" b="0" i="0" u="sng" strike="noStrike">
              <a:solidFill>
                <a:srgbClr val="0000FF"/>
              </a:solidFill>
              <a:latin typeface="Calibri"/>
            </a:rPr>
            <a:t>Definition</a:t>
          </a:r>
        </a:p>
      </xdr:txBody>
    </xdr:sp>
    <xdr:clientData/>
  </xdr:twoCellAnchor>
  <xdr:twoCellAnchor>
    <xdr:from>
      <xdr:col>4</xdr:col>
      <xdr:colOff>254000</xdr:colOff>
      <xdr:row>124</xdr:row>
      <xdr:rowOff>152400</xdr:rowOff>
    </xdr:from>
    <xdr:to>
      <xdr:col>4</xdr:col>
      <xdr:colOff>663575</xdr:colOff>
      <xdr:row>125</xdr:row>
      <xdr:rowOff>88900</xdr:rowOff>
    </xdr:to>
    <xdr:sp macro="" textlink="">
      <xdr:nvSpPr>
        <xdr:cNvPr id="206" name="TextBox 205">
          <a:hlinkClick xmlns:r="http://schemas.openxmlformats.org/officeDocument/2006/relationships" r:id="rId36"/>
          <a:extLst>
            <a:ext uri="{FF2B5EF4-FFF2-40B4-BE49-F238E27FC236}">
              <a16:creationId xmlns:a16="http://schemas.microsoft.com/office/drawing/2014/main" id="{00000000-0008-0000-0000-0000CE000000}"/>
            </a:ext>
          </a:extLst>
        </xdr:cNvPr>
        <xdr:cNvSpPr txBox="1"/>
      </xdr:nvSpPr>
      <xdr:spPr>
        <a:xfrm>
          <a:off x="3911600" y="22047200"/>
          <a:ext cx="409575" cy="127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800" b="0" i="0" u="sng" strike="noStrike">
              <a:solidFill>
                <a:srgbClr val="0000FF"/>
              </a:solidFill>
              <a:latin typeface="Calibri"/>
            </a:rPr>
            <a:t>Definition</a:t>
          </a:r>
        </a:p>
      </xdr:txBody>
    </xdr:sp>
    <xdr:clientData/>
  </xdr:twoCellAnchor>
  <xdr:twoCellAnchor>
    <xdr:from>
      <xdr:col>4</xdr:col>
      <xdr:colOff>254000</xdr:colOff>
      <xdr:row>126</xdr:row>
      <xdr:rowOff>158750</xdr:rowOff>
    </xdr:from>
    <xdr:to>
      <xdr:col>4</xdr:col>
      <xdr:colOff>663575</xdr:colOff>
      <xdr:row>127</xdr:row>
      <xdr:rowOff>95250</xdr:rowOff>
    </xdr:to>
    <xdr:sp macro="" textlink="">
      <xdr:nvSpPr>
        <xdr:cNvPr id="207" name="TextBox 206">
          <a:hlinkClick xmlns:r="http://schemas.openxmlformats.org/officeDocument/2006/relationships" r:id="rId37"/>
          <a:extLst>
            <a:ext uri="{FF2B5EF4-FFF2-40B4-BE49-F238E27FC236}">
              <a16:creationId xmlns:a16="http://schemas.microsoft.com/office/drawing/2014/main" id="{00000000-0008-0000-0000-0000CF000000}"/>
            </a:ext>
          </a:extLst>
        </xdr:cNvPr>
        <xdr:cNvSpPr txBox="1"/>
      </xdr:nvSpPr>
      <xdr:spPr>
        <a:xfrm>
          <a:off x="3911600" y="22371050"/>
          <a:ext cx="409575" cy="127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800" b="0" i="0" u="sng" strike="noStrike">
              <a:solidFill>
                <a:srgbClr val="0000FF"/>
              </a:solidFill>
              <a:latin typeface="Calibri"/>
            </a:rPr>
            <a:t>Definition</a:t>
          </a:r>
        </a:p>
      </xdr:txBody>
    </xdr:sp>
    <xdr:clientData/>
  </xdr:twoCellAnchor>
  <xdr:twoCellAnchor>
    <xdr:from>
      <xdr:col>4</xdr:col>
      <xdr:colOff>254000</xdr:colOff>
      <xdr:row>128</xdr:row>
      <xdr:rowOff>158750</xdr:rowOff>
    </xdr:from>
    <xdr:to>
      <xdr:col>4</xdr:col>
      <xdr:colOff>663575</xdr:colOff>
      <xdr:row>129</xdr:row>
      <xdr:rowOff>95250</xdr:rowOff>
    </xdr:to>
    <xdr:sp macro="" textlink="">
      <xdr:nvSpPr>
        <xdr:cNvPr id="208" name="TextBox 207">
          <a:hlinkClick xmlns:r="http://schemas.openxmlformats.org/officeDocument/2006/relationships" r:id="rId38"/>
          <a:extLst>
            <a:ext uri="{FF2B5EF4-FFF2-40B4-BE49-F238E27FC236}">
              <a16:creationId xmlns:a16="http://schemas.microsoft.com/office/drawing/2014/main" id="{00000000-0008-0000-0000-0000D0000000}"/>
            </a:ext>
          </a:extLst>
        </xdr:cNvPr>
        <xdr:cNvSpPr txBox="1"/>
      </xdr:nvSpPr>
      <xdr:spPr>
        <a:xfrm>
          <a:off x="3911600" y="22688550"/>
          <a:ext cx="409575" cy="127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800" b="0" i="0" u="sng" strike="noStrike">
              <a:solidFill>
                <a:srgbClr val="0000FF"/>
              </a:solidFill>
              <a:latin typeface="Calibri"/>
            </a:rPr>
            <a:t>Definition</a:t>
          </a:r>
        </a:p>
      </xdr:txBody>
    </xdr:sp>
    <xdr:clientData/>
  </xdr:twoCellAnchor>
  <xdr:twoCellAnchor>
    <xdr:from>
      <xdr:col>4</xdr:col>
      <xdr:colOff>254000</xdr:colOff>
      <xdr:row>130</xdr:row>
      <xdr:rowOff>158750</xdr:rowOff>
    </xdr:from>
    <xdr:to>
      <xdr:col>4</xdr:col>
      <xdr:colOff>663575</xdr:colOff>
      <xdr:row>131</xdr:row>
      <xdr:rowOff>95250</xdr:rowOff>
    </xdr:to>
    <xdr:sp macro="" textlink="">
      <xdr:nvSpPr>
        <xdr:cNvPr id="209" name="TextBox 208">
          <a:hlinkClick xmlns:r="http://schemas.openxmlformats.org/officeDocument/2006/relationships" r:id="rId39"/>
          <a:extLst>
            <a:ext uri="{FF2B5EF4-FFF2-40B4-BE49-F238E27FC236}">
              <a16:creationId xmlns:a16="http://schemas.microsoft.com/office/drawing/2014/main" id="{00000000-0008-0000-0000-0000D1000000}"/>
            </a:ext>
          </a:extLst>
        </xdr:cNvPr>
        <xdr:cNvSpPr txBox="1"/>
      </xdr:nvSpPr>
      <xdr:spPr>
        <a:xfrm>
          <a:off x="3911600" y="23006050"/>
          <a:ext cx="409575" cy="127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800" b="0" i="0" u="sng" strike="noStrike">
              <a:solidFill>
                <a:srgbClr val="0000FF"/>
              </a:solidFill>
              <a:latin typeface="Calibri"/>
            </a:rPr>
            <a:t>Definition</a:t>
          </a:r>
        </a:p>
      </xdr:txBody>
    </xdr:sp>
    <xdr:clientData/>
  </xdr:twoCellAnchor>
  <xdr:twoCellAnchor>
    <xdr:from>
      <xdr:col>4</xdr:col>
      <xdr:colOff>254000</xdr:colOff>
      <xdr:row>132</xdr:row>
      <xdr:rowOff>152400</xdr:rowOff>
    </xdr:from>
    <xdr:to>
      <xdr:col>4</xdr:col>
      <xdr:colOff>663575</xdr:colOff>
      <xdr:row>133</xdr:row>
      <xdr:rowOff>88900</xdr:rowOff>
    </xdr:to>
    <xdr:sp macro="" textlink="">
      <xdr:nvSpPr>
        <xdr:cNvPr id="210" name="TextBox 209">
          <a:hlinkClick xmlns:r="http://schemas.openxmlformats.org/officeDocument/2006/relationships" r:id="rId40"/>
          <a:extLst>
            <a:ext uri="{FF2B5EF4-FFF2-40B4-BE49-F238E27FC236}">
              <a16:creationId xmlns:a16="http://schemas.microsoft.com/office/drawing/2014/main" id="{00000000-0008-0000-0000-0000D2000000}"/>
            </a:ext>
          </a:extLst>
        </xdr:cNvPr>
        <xdr:cNvSpPr txBox="1"/>
      </xdr:nvSpPr>
      <xdr:spPr>
        <a:xfrm>
          <a:off x="3911600" y="23317200"/>
          <a:ext cx="409575" cy="127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800" b="0" i="0" u="sng" strike="noStrike">
              <a:solidFill>
                <a:srgbClr val="0000FF"/>
              </a:solidFill>
              <a:latin typeface="Calibri"/>
            </a:rPr>
            <a:t>Definition</a:t>
          </a:r>
        </a:p>
      </xdr:txBody>
    </xdr:sp>
    <xdr:clientData/>
  </xdr:twoCellAnchor>
  <xdr:twoCellAnchor>
    <xdr:from>
      <xdr:col>4</xdr:col>
      <xdr:colOff>254000</xdr:colOff>
      <xdr:row>134</xdr:row>
      <xdr:rowOff>152399</xdr:rowOff>
    </xdr:from>
    <xdr:to>
      <xdr:col>4</xdr:col>
      <xdr:colOff>663575</xdr:colOff>
      <xdr:row>135</xdr:row>
      <xdr:rowOff>161924</xdr:rowOff>
    </xdr:to>
    <xdr:sp macro="" textlink="">
      <xdr:nvSpPr>
        <xdr:cNvPr id="211" name="TextBox 210">
          <a:hlinkClick xmlns:r="http://schemas.openxmlformats.org/officeDocument/2006/relationships" r:id="rId41"/>
          <a:extLst>
            <a:ext uri="{FF2B5EF4-FFF2-40B4-BE49-F238E27FC236}">
              <a16:creationId xmlns:a16="http://schemas.microsoft.com/office/drawing/2014/main" id="{00000000-0008-0000-0000-0000D3000000}"/>
            </a:ext>
          </a:extLst>
        </xdr:cNvPr>
        <xdr:cNvSpPr txBox="1"/>
      </xdr:nvSpPr>
      <xdr:spPr>
        <a:xfrm>
          <a:off x="4168775" y="26117549"/>
          <a:ext cx="409575" cy="200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800" b="0" i="0" u="sng" strike="noStrike">
              <a:solidFill>
                <a:srgbClr val="0000FF"/>
              </a:solidFill>
              <a:latin typeface="Calibri"/>
            </a:rPr>
            <a:t>Definition</a:t>
          </a:r>
        </a:p>
      </xdr:txBody>
    </xdr:sp>
    <xdr:clientData/>
  </xdr:twoCellAnchor>
  <xdr:twoCellAnchor>
    <xdr:from>
      <xdr:col>4</xdr:col>
      <xdr:colOff>254000</xdr:colOff>
      <xdr:row>139</xdr:row>
      <xdr:rowOff>171450</xdr:rowOff>
    </xdr:from>
    <xdr:to>
      <xdr:col>4</xdr:col>
      <xdr:colOff>663575</xdr:colOff>
      <xdr:row>141</xdr:row>
      <xdr:rowOff>19050</xdr:rowOff>
    </xdr:to>
    <xdr:sp macro="" textlink="">
      <xdr:nvSpPr>
        <xdr:cNvPr id="167" name="TextBox 166">
          <a:hlinkClick xmlns:r="http://schemas.openxmlformats.org/officeDocument/2006/relationships" r:id="rId42"/>
          <a:extLst>
            <a:ext uri="{FF2B5EF4-FFF2-40B4-BE49-F238E27FC236}">
              <a16:creationId xmlns:a16="http://schemas.microsoft.com/office/drawing/2014/main" id="{00000000-0008-0000-0000-0000A7000000}"/>
            </a:ext>
          </a:extLst>
        </xdr:cNvPr>
        <xdr:cNvSpPr txBox="1"/>
      </xdr:nvSpPr>
      <xdr:spPr>
        <a:xfrm>
          <a:off x="3911600" y="25971500"/>
          <a:ext cx="409575" cy="127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800" b="0" i="0" u="sng" strike="noStrike">
              <a:solidFill>
                <a:srgbClr val="0000FF"/>
              </a:solidFill>
              <a:latin typeface="Calibri"/>
            </a:rPr>
            <a:t>Definition</a:t>
          </a:r>
        </a:p>
      </xdr:txBody>
    </xdr:sp>
    <xdr:clientData/>
  </xdr:twoCellAnchor>
  <xdr:twoCellAnchor>
    <xdr:from>
      <xdr:col>4</xdr:col>
      <xdr:colOff>254000</xdr:colOff>
      <xdr:row>142</xdr:row>
      <xdr:rowOff>158750</xdr:rowOff>
    </xdr:from>
    <xdr:to>
      <xdr:col>4</xdr:col>
      <xdr:colOff>663575</xdr:colOff>
      <xdr:row>144</xdr:row>
      <xdr:rowOff>19050</xdr:rowOff>
    </xdr:to>
    <xdr:sp macro="" textlink="">
      <xdr:nvSpPr>
        <xdr:cNvPr id="212" name="TextBox 211">
          <a:hlinkClick xmlns:r="http://schemas.openxmlformats.org/officeDocument/2006/relationships" r:id="rId43"/>
          <a:extLst>
            <a:ext uri="{FF2B5EF4-FFF2-40B4-BE49-F238E27FC236}">
              <a16:creationId xmlns:a16="http://schemas.microsoft.com/office/drawing/2014/main" id="{00000000-0008-0000-0000-0000D4000000}"/>
            </a:ext>
          </a:extLst>
        </xdr:cNvPr>
        <xdr:cNvSpPr txBox="1"/>
      </xdr:nvSpPr>
      <xdr:spPr>
        <a:xfrm>
          <a:off x="3911600" y="26428700"/>
          <a:ext cx="409575" cy="127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800" b="0" i="0" u="sng" strike="noStrike">
              <a:solidFill>
                <a:srgbClr val="0000FF"/>
              </a:solidFill>
              <a:latin typeface="Calibri"/>
            </a:rPr>
            <a:t>Definition</a:t>
          </a:r>
        </a:p>
      </xdr:txBody>
    </xdr:sp>
    <xdr:clientData/>
  </xdr:twoCellAnchor>
  <xdr:twoCellAnchor>
    <xdr:from>
      <xdr:col>4</xdr:col>
      <xdr:colOff>254000</xdr:colOff>
      <xdr:row>144</xdr:row>
      <xdr:rowOff>165100</xdr:rowOff>
    </xdr:from>
    <xdr:to>
      <xdr:col>4</xdr:col>
      <xdr:colOff>663575</xdr:colOff>
      <xdr:row>145</xdr:row>
      <xdr:rowOff>101600</xdr:rowOff>
    </xdr:to>
    <xdr:sp macro="" textlink="">
      <xdr:nvSpPr>
        <xdr:cNvPr id="213" name="TextBox 212">
          <a:hlinkClick xmlns:r="http://schemas.openxmlformats.org/officeDocument/2006/relationships" r:id="rId44"/>
          <a:extLst>
            <a:ext uri="{FF2B5EF4-FFF2-40B4-BE49-F238E27FC236}">
              <a16:creationId xmlns:a16="http://schemas.microsoft.com/office/drawing/2014/main" id="{00000000-0008-0000-0000-0000D5000000}"/>
            </a:ext>
          </a:extLst>
        </xdr:cNvPr>
        <xdr:cNvSpPr txBox="1"/>
      </xdr:nvSpPr>
      <xdr:spPr>
        <a:xfrm>
          <a:off x="3911600" y="26701750"/>
          <a:ext cx="409575" cy="127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800" b="0" i="0" u="sng" strike="noStrike">
              <a:solidFill>
                <a:srgbClr val="0000FF"/>
              </a:solidFill>
              <a:latin typeface="Calibri"/>
            </a:rPr>
            <a:t>Definition</a:t>
          </a:r>
        </a:p>
      </xdr:txBody>
    </xdr:sp>
    <xdr:clientData/>
  </xdr:twoCellAnchor>
  <xdr:twoCellAnchor>
    <xdr:from>
      <xdr:col>9</xdr:col>
      <xdr:colOff>33673</xdr:colOff>
      <xdr:row>15</xdr:row>
      <xdr:rowOff>15298</xdr:rowOff>
    </xdr:from>
    <xdr:to>
      <xdr:col>28</xdr:col>
      <xdr:colOff>139506</xdr:colOff>
      <xdr:row>15</xdr:row>
      <xdr:rowOff>142298</xdr:rowOff>
    </xdr:to>
    <xdr:sp macro="" textlink="">
      <xdr:nvSpPr>
        <xdr:cNvPr id="214" name="TextBox 213">
          <a:hlinkClick xmlns:r="http://schemas.openxmlformats.org/officeDocument/2006/relationships" r:id="rId45"/>
          <a:extLst>
            <a:ext uri="{FF2B5EF4-FFF2-40B4-BE49-F238E27FC236}">
              <a16:creationId xmlns:a16="http://schemas.microsoft.com/office/drawing/2014/main" id="{00000000-0008-0000-0000-0000D6000000}"/>
            </a:ext>
          </a:extLst>
        </xdr:cNvPr>
        <xdr:cNvSpPr txBox="1"/>
      </xdr:nvSpPr>
      <xdr:spPr>
        <a:xfrm>
          <a:off x="6086378" y="2517775"/>
          <a:ext cx="3456901" cy="127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800" b="0" i="0" u="sng" strike="noStrike">
              <a:solidFill>
                <a:srgbClr val="0000FF"/>
              </a:solidFill>
              <a:latin typeface="+mn-lt"/>
            </a:rPr>
            <a:t>http://safetydata.fra.dot.gov/officeofsafety/publicsite/crossing/xingqryloc.aspx</a:t>
          </a:r>
        </a:p>
      </xdr:txBody>
    </xdr:sp>
    <xdr:clientData/>
  </xdr:twoCellAnchor>
  <xdr:twoCellAnchor editAs="oneCell">
    <xdr:from>
      <xdr:col>0</xdr:col>
      <xdr:colOff>42345</xdr:colOff>
      <xdr:row>0</xdr:row>
      <xdr:rowOff>42338</xdr:rowOff>
    </xdr:from>
    <xdr:to>
      <xdr:col>0</xdr:col>
      <xdr:colOff>1698086</xdr:colOff>
      <xdr:row>0</xdr:row>
      <xdr:rowOff>478866</xdr:rowOff>
    </xdr:to>
    <xdr:pic>
      <xdr:nvPicPr>
        <xdr:cNvPr id="220" name="Picture 219">
          <a:extLst>
            <a:ext uri="{FF2B5EF4-FFF2-40B4-BE49-F238E27FC236}">
              <a16:creationId xmlns:a16="http://schemas.microsoft.com/office/drawing/2014/main" id="{00000000-0008-0000-0000-0000DC000000}"/>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42345" y="42338"/>
          <a:ext cx="1707811" cy="443513"/>
        </a:xfrm>
        <a:prstGeom prst="rect">
          <a:avLst/>
        </a:prstGeom>
      </xdr:spPr>
    </xdr:pic>
    <xdr:clientData/>
  </xdr:twoCellAnchor>
  <xdr:oneCellAnchor>
    <xdr:from>
      <xdr:col>0</xdr:col>
      <xdr:colOff>42345</xdr:colOff>
      <xdr:row>37</xdr:row>
      <xdr:rowOff>42338</xdr:rowOff>
    </xdr:from>
    <xdr:ext cx="1707811" cy="443513"/>
    <xdr:pic>
      <xdr:nvPicPr>
        <xdr:cNvPr id="221" name="Picture 220">
          <a:extLst>
            <a:ext uri="{FF2B5EF4-FFF2-40B4-BE49-F238E27FC236}">
              <a16:creationId xmlns:a16="http://schemas.microsoft.com/office/drawing/2014/main" id="{00000000-0008-0000-0000-0000DD000000}"/>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42345" y="42338"/>
          <a:ext cx="1707811" cy="443513"/>
        </a:xfrm>
        <a:prstGeom prst="rect">
          <a:avLst/>
        </a:prstGeom>
      </xdr:spPr>
    </xdr:pic>
    <xdr:clientData/>
  </xdr:oneCellAnchor>
  <xdr:oneCellAnchor>
    <xdr:from>
      <xdr:col>0</xdr:col>
      <xdr:colOff>42345</xdr:colOff>
      <xdr:row>76</xdr:row>
      <xdr:rowOff>42338</xdr:rowOff>
    </xdr:from>
    <xdr:ext cx="1707811" cy="443513"/>
    <xdr:pic>
      <xdr:nvPicPr>
        <xdr:cNvPr id="222" name="Picture 221">
          <a:extLst>
            <a:ext uri="{FF2B5EF4-FFF2-40B4-BE49-F238E27FC236}">
              <a16:creationId xmlns:a16="http://schemas.microsoft.com/office/drawing/2014/main" id="{00000000-0008-0000-0000-0000DE000000}"/>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42345" y="42338"/>
          <a:ext cx="1707811" cy="443513"/>
        </a:xfrm>
        <a:prstGeom prst="rect">
          <a:avLst/>
        </a:prstGeom>
      </xdr:spPr>
    </xdr:pic>
    <xdr:clientData/>
  </xdr:oneCellAnchor>
  <xdr:oneCellAnchor>
    <xdr:from>
      <xdr:col>0</xdr:col>
      <xdr:colOff>42345</xdr:colOff>
      <xdr:row>118</xdr:row>
      <xdr:rowOff>42338</xdr:rowOff>
    </xdr:from>
    <xdr:ext cx="1707811" cy="443513"/>
    <xdr:pic>
      <xdr:nvPicPr>
        <xdr:cNvPr id="223" name="Picture 222">
          <a:extLst>
            <a:ext uri="{FF2B5EF4-FFF2-40B4-BE49-F238E27FC236}">
              <a16:creationId xmlns:a16="http://schemas.microsoft.com/office/drawing/2014/main" id="{00000000-0008-0000-0000-0000DF000000}"/>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42345" y="42338"/>
          <a:ext cx="1707811" cy="443513"/>
        </a:xfrm>
        <a:prstGeom prst="rect">
          <a:avLst/>
        </a:prstGeom>
      </xdr:spPr>
    </xdr:pic>
    <xdr:clientData/>
  </xdr:oneCellAnchor>
  <xdr:oneCellAnchor>
    <xdr:from>
      <xdr:col>0</xdr:col>
      <xdr:colOff>42345</xdr:colOff>
      <xdr:row>147</xdr:row>
      <xdr:rowOff>42338</xdr:rowOff>
    </xdr:from>
    <xdr:ext cx="1707811" cy="443513"/>
    <xdr:pic>
      <xdr:nvPicPr>
        <xdr:cNvPr id="225" name="Picture 224">
          <a:extLst>
            <a:ext uri="{FF2B5EF4-FFF2-40B4-BE49-F238E27FC236}">
              <a16:creationId xmlns:a16="http://schemas.microsoft.com/office/drawing/2014/main" id="{00000000-0008-0000-0000-0000E1000000}"/>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42345" y="22492763"/>
          <a:ext cx="1707811" cy="443513"/>
        </a:xfrm>
        <a:prstGeom prst="rect">
          <a:avLst/>
        </a:prstGeom>
      </xdr:spPr>
    </xdr:pic>
    <xdr:clientData/>
  </xdr:oneCellAnchor>
  <xdr:twoCellAnchor>
    <xdr:from>
      <xdr:col>0</xdr:col>
      <xdr:colOff>0</xdr:colOff>
      <xdr:row>148</xdr:row>
      <xdr:rowOff>114297</xdr:rowOff>
    </xdr:from>
    <xdr:to>
      <xdr:col>28</xdr:col>
      <xdr:colOff>87699</xdr:colOff>
      <xdr:row>181</xdr:row>
      <xdr:rowOff>142921</xdr:rowOff>
    </xdr:to>
    <xdr:grpSp>
      <xdr:nvGrpSpPr>
        <xdr:cNvPr id="15" name="Group 14">
          <a:extLst>
            <a:ext uri="{FF2B5EF4-FFF2-40B4-BE49-F238E27FC236}">
              <a16:creationId xmlns:a16="http://schemas.microsoft.com/office/drawing/2014/main" id="{00000000-0008-0000-0000-00000F000000}"/>
            </a:ext>
          </a:extLst>
        </xdr:cNvPr>
        <xdr:cNvGrpSpPr/>
      </xdr:nvGrpSpPr>
      <xdr:grpSpPr>
        <a:xfrm>
          <a:off x="0" y="30098997"/>
          <a:ext cx="9597459" cy="5998894"/>
          <a:chOff x="0" y="30489501"/>
          <a:chExt cx="8889625" cy="6313500"/>
        </a:xfrm>
      </xdr:grpSpPr>
      <xdr:graphicFrame macro="">
        <xdr:nvGraphicFramePr>
          <xdr:cNvPr id="101" name="Chart 1">
            <a:extLst>
              <a:ext uri="{FF2B5EF4-FFF2-40B4-BE49-F238E27FC236}">
                <a16:creationId xmlns:a16="http://schemas.microsoft.com/office/drawing/2014/main" id="{00000000-0008-0000-0000-000065000000}"/>
              </a:ext>
            </a:extLst>
          </xdr:cNvPr>
          <xdr:cNvGraphicFramePr>
            <a:graphicFrameLocks/>
          </xdr:cNvGraphicFramePr>
        </xdr:nvGraphicFramePr>
        <xdr:xfrm>
          <a:off x="0" y="30489501"/>
          <a:ext cx="8889625" cy="6313500"/>
        </xdr:xfrm>
        <a:graphic>
          <a:graphicData uri="http://schemas.openxmlformats.org/drawingml/2006/chart">
            <c:chart xmlns:c="http://schemas.openxmlformats.org/drawingml/2006/chart" xmlns:r="http://schemas.openxmlformats.org/officeDocument/2006/relationships" r:id="rId47"/>
          </a:graphicData>
        </a:graphic>
      </xdr:graphicFrame>
      <xdr:pic>
        <xdr:nvPicPr>
          <xdr:cNvPr id="14" name="Picture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48"/>
          <a:srcRect r="17406" b="78164"/>
          <a:stretch/>
        </xdr:blipFill>
        <xdr:spPr>
          <a:xfrm>
            <a:off x="6621558" y="31264498"/>
            <a:ext cx="1827012" cy="930089"/>
          </a:xfrm>
          <a:prstGeom prst="rect">
            <a:avLst/>
          </a:prstGeom>
        </xdr:spPr>
      </xdr:pic>
      <xdr:pic>
        <xdr:nvPicPr>
          <xdr:cNvPr id="224" name="Picture 223">
            <a:extLst>
              <a:ext uri="{FF2B5EF4-FFF2-40B4-BE49-F238E27FC236}">
                <a16:creationId xmlns:a16="http://schemas.microsoft.com/office/drawing/2014/main" id="{00000000-0008-0000-0000-0000E0000000}"/>
              </a:ext>
            </a:extLst>
          </xdr:cNvPr>
          <xdr:cNvPicPr>
            <a:picLocks noChangeAspect="1"/>
          </xdr:cNvPicPr>
        </xdr:nvPicPr>
        <xdr:blipFill rotWithShape="1">
          <a:blip xmlns:r="http://schemas.openxmlformats.org/officeDocument/2006/relationships" r:embed="rId48"/>
          <a:srcRect t="78123" r="8213"/>
          <a:stretch/>
        </xdr:blipFill>
        <xdr:spPr>
          <a:xfrm>
            <a:off x="6621558" y="34993797"/>
            <a:ext cx="2030346" cy="931835"/>
          </a:xfrm>
          <a:prstGeom prst="rect">
            <a:avLst/>
          </a:prstGeom>
        </xdr:spPr>
      </xdr:pic>
      <xdr:pic>
        <xdr:nvPicPr>
          <xdr:cNvPr id="226" name="Picture 225">
            <a:extLst>
              <a:ext uri="{FF2B5EF4-FFF2-40B4-BE49-F238E27FC236}">
                <a16:creationId xmlns:a16="http://schemas.microsoft.com/office/drawing/2014/main" id="{00000000-0008-0000-0000-0000E2000000}"/>
              </a:ext>
            </a:extLst>
          </xdr:cNvPr>
          <xdr:cNvPicPr>
            <a:picLocks noChangeAspect="1"/>
          </xdr:cNvPicPr>
        </xdr:nvPicPr>
        <xdr:blipFill rotWithShape="1">
          <a:blip xmlns:r="http://schemas.openxmlformats.org/officeDocument/2006/relationships" r:embed="rId48"/>
          <a:srcRect l="-1" t="22454" r="2469" b="22824"/>
          <a:stretch/>
        </xdr:blipFill>
        <xdr:spPr>
          <a:xfrm>
            <a:off x="6621558" y="32428779"/>
            <a:ext cx="2157430" cy="2330824"/>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0</xdr:col>
          <xdr:colOff>457200</xdr:colOff>
          <xdr:row>30</xdr:row>
          <xdr:rowOff>19050</xdr:rowOff>
        </xdr:from>
        <xdr:to>
          <xdr:col>0</xdr:col>
          <xdr:colOff>1219200</xdr:colOff>
          <xdr:row>34</xdr:row>
          <xdr:rowOff>57785</xdr:rowOff>
        </xdr:to>
        <xdr:pic>
          <xdr:nvPicPr>
            <xdr:cNvPr id="13769" name="Picture 108">
              <a:extLst>
                <a:ext uri="{FF2B5EF4-FFF2-40B4-BE49-F238E27FC236}">
                  <a16:creationId xmlns:a16="http://schemas.microsoft.com/office/drawing/2014/main" id="{4E3FA176-B69F-BCEE-FEAB-DCB75CFD40E3}"/>
                </a:ext>
              </a:extLst>
            </xdr:cNvPr>
            <xdr:cNvPicPr>
              <a:picLocks noChangeAspect="1" noChangeArrowheads="1"/>
              <a:extLst>
                <a:ext uri="{84589F7E-364E-4C9E-8A38-B11213B215E9}">
                  <a14:cameraTool cellRange="Arrow" spid="_x0000_s14144"/>
                </a:ext>
              </a:extLst>
            </xdr:cNvPicPr>
          </xdr:nvPicPr>
          <xdr:blipFill>
            <a:blip xmlns:r="http://schemas.openxmlformats.org/officeDocument/2006/relationships" r:embed="rId49"/>
            <a:srcRect l="7178" t="5612" r="14114" b="6847"/>
            <a:stretch>
              <a:fillRect/>
            </a:stretch>
          </xdr:blipFill>
          <xdr:spPr bwMode="auto">
            <a:xfrm>
              <a:off x="457200" y="6019800"/>
              <a:ext cx="762000" cy="7524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571500</xdr:colOff>
          <xdr:row>30</xdr:row>
          <xdr:rowOff>19050</xdr:rowOff>
        </xdr:from>
        <xdr:to>
          <xdr:col>0</xdr:col>
          <xdr:colOff>1524000</xdr:colOff>
          <xdr:row>34</xdr:row>
          <xdr:rowOff>53340</xdr:rowOff>
        </xdr:to>
        <xdr:pic>
          <xdr:nvPicPr>
            <xdr:cNvPr id="13785" name="Picture 108">
              <a:extLst>
                <a:ext uri="{FF2B5EF4-FFF2-40B4-BE49-F238E27FC236}">
                  <a16:creationId xmlns:a16="http://schemas.microsoft.com/office/drawing/2014/main" id="{0B32856C-C672-4440-A94D-9B8A4F7066FF}"/>
                </a:ext>
              </a:extLst>
            </xdr:cNvPr>
            <xdr:cNvPicPr>
              <a:picLocks noChangeAspect="1" noChangeArrowheads="1"/>
              <a:extLst>
                <a:ext uri="{84589F7E-364E-4C9E-8A38-B11213B215E9}">
                  <a14:cameraTool cellRange="Arrow" spid="_x0000_s14145"/>
                </a:ext>
              </a:extLst>
            </xdr:cNvPicPr>
          </xdr:nvPicPr>
          <xdr:blipFill>
            <a:blip xmlns:r="http://schemas.openxmlformats.org/officeDocument/2006/relationships" r:embed="rId49"/>
            <a:srcRect l="7178" t="5612" r="14114" b="6847"/>
            <a:stretch>
              <a:fillRect/>
            </a:stretch>
          </xdr:blipFill>
          <xdr:spPr bwMode="auto">
            <a:xfrm>
              <a:off x="571500" y="6019800"/>
              <a:ext cx="952500" cy="7620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571500</xdr:colOff>
          <xdr:row>30</xdr:row>
          <xdr:rowOff>28575</xdr:rowOff>
        </xdr:from>
        <xdr:to>
          <xdr:col>0</xdr:col>
          <xdr:colOff>1524000</xdr:colOff>
          <xdr:row>34</xdr:row>
          <xdr:rowOff>53340</xdr:rowOff>
        </xdr:to>
        <xdr:pic>
          <xdr:nvPicPr>
            <xdr:cNvPr id="13786" name="Picture 1498">
              <a:extLst>
                <a:ext uri="{FF2B5EF4-FFF2-40B4-BE49-F238E27FC236}">
                  <a16:creationId xmlns:a16="http://schemas.microsoft.com/office/drawing/2014/main" id="{34BE9969-CB81-4A3B-B18B-71137C017F74}"/>
                </a:ext>
              </a:extLst>
            </xdr:cNvPr>
            <xdr:cNvPicPr>
              <a:picLocks noChangeAspect="1" noChangeArrowheads="1"/>
              <a:extLst>
                <a:ext uri="{84589F7E-364E-4C9E-8A38-B11213B215E9}">
                  <a14:cameraTool cellRange="Arrow" spid="_x0000_s14146"/>
                </a:ext>
              </a:extLst>
            </xdr:cNvPicPr>
          </xdr:nvPicPr>
          <xdr:blipFill>
            <a:blip xmlns:r="http://schemas.openxmlformats.org/officeDocument/2006/relationships" r:embed="rId49"/>
            <a:srcRect l="7178" t="5612" r="14114" b="6847"/>
            <a:stretch>
              <a:fillRect/>
            </a:stretch>
          </xdr:blipFill>
          <xdr:spPr bwMode="auto">
            <a:xfrm>
              <a:off x="571500" y="6029325"/>
              <a:ext cx="952500" cy="75247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0</xdr:col>
      <xdr:colOff>42345</xdr:colOff>
      <xdr:row>0</xdr:row>
      <xdr:rowOff>42338</xdr:rowOff>
    </xdr:from>
    <xdr:to>
      <xdr:col>1</xdr:col>
      <xdr:colOff>1026256</xdr:colOff>
      <xdr:row>0</xdr:row>
      <xdr:rowOff>485851</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345" y="42338"/>
          <a:ext cx="1707811" cy="44351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42345</xdr:colOff>
      <xdr:row>0</xdr:row>
      <xdr:rowOff>42338</xdr:rowOff>
    </xdr:from>
    <xdr:ext cx="1707811" cy="443513"/>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345" y="22492763"/>
          <a:ext cx="1707811" cy="443513"/>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1</xdr:col>
      <xdr:colOff>1703916</xdr:colOff>
      <xdr:row>37</xdr:row>
      <xdr:rowOff>85725</xdr:rowOff>
    </xdr:from>
    <xdr:to>
      <xdr:col>1</xdr:col>
      <xdr:colOff>5497703</xdr:colOff>
      <xdr:row>37</xdr:row>
      <xdr:rowOff>3739092</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1703916" y="5514975"/>
          <a:ext cx="3793787" cy="3653367"/>
        </a:xfrm>
        <a:prstGeom prst="rect">
          <a:avLst/>
        </a:prstGeom>
      </xdr:spPr>
    </xdr:pic>
    <xdr:clientData/>
  </xdr:twoCellAnchor>
  <xdr:twoCellAnchor editAs="oneCell">
    <xdr:from>
      <xdr:col>1</xdr:col>
      <xdr:colOff>1238250</xdr:colOff>
      <xdr:row>47</xdr:row>
      <xdr:rowOff>161925</xdr:rowOff>
    </xdr:from>
    <xdr:to>
      <xdr:col>2</xdr:col>
      <xdr:colOff>18357</xdr:colOff>
      <xdr:row>47</xdr:row>
      <xdr:rowOff>3504782</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1238250" y="10734675"/>
          <a:ext cx="5542857" cy="3342857"/>
        </a:xfrm>
        <a:prstGeom prst="rect">
          <a:avLst/>
        </a:prstGeom>
      </xdr:spPr>
    </xdr:pic>
    <xdr:clientData/>
  </xdr:twoCellAnchor>
  <xdr:oneCellAnchor>
    <xdr:from>
      <xdr:col>1</xdr:col>
      <xdr:colOff>2732099</xdr:colOff>
      <xdr:row>49</xdr:row>
      <xdr:rowOff>71437</xdr:rowOff>
    </xdr:from>
    <xdr:ext cx="1887526" cy="490538"/>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00000000-0008-0000-0B00-000004000000}"/>
                </a:ext>
              </a:extLst>
            </xdr:cNvPr>
            <xdr:cNvSpPr txBox="1"/>
          </xdr:nvSpPr>
          <xdr:spPr>
            <a:xfrm>
              <a:off x="2732099" y="14835187"/>
              <a:ext cx="1887526" cy="4905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ctr"/>
              <a14:m>
                <m:oMathPara xmlns:m="http://schemas.openxmlformats.org/officeDocument/2006/math">
                  <m:oMathParaPr>
                    <m:jc m:val="centerGroup"/>
                  </m:oMathParaPr>
                  <m:oMath xmlns:m="http://schemas.openxmlformats.org/officeDocument/2006/math">
                    <m:r>
                      <a:rPr lang="en-US" sz="1400" b="0" i="1" u="none" strike="noStrike">
                        <a:solidFill>
                          <a:srgbClr val="000000"/>
                        </a:solidFill>
                        <a:latin typeface="Cambria Math" panose="02040503050406030204" pitchFamily="18" charset="0"/>
                      </a:rPr>
                      <m:t>𝑇</m:t>
                    </m:r>
                    <m:r>
                      <a:rPr lang="en-US" sz="1400" b="0" i="1" u="none" strike="noStrike">
                        <a:solidFill>
                          <a:srgbClr val="000000"/>
                        </a:solidFill>
                        <a:latin typeface="Cambria Math" panose="02040503050406030204" pitchFamily="18" charset="0"/>
                      </a:rPr>
                      <m:t>=</m:t>
                    </m:r>
                    <m:sSup>
                      <m:sSupPr>
                        <m:ctrlPr>
                          <a:rPr lang="en-US" sz="1400" b="0" i="1" u="none" strike="noStrike">
                            <a:solidFill>
                              <a:srgbClr val="000000"/>
                            </a:solidFill>
                            <a:latin typeface="Cambria Math" panose="02040503050406030204" pitchFamily="18" charset="0"/>
                          </a:rPr>
                        </m:ctrlPr>
                      </m:sSupPr>
                      <m:e>
                        <m:r>
                          <a:rPr lang="en-US" sz="1400" b="0" i="1" u="none" strike="noStrike">
                            <a:solidFill>
                              <a:srgbClr val="000000"/>
                            </a:solidFill>
                            <a:latin typeface="Cambria Math" panose="02040503050406030204" pitchFamily="18" charset="0"/>
                          </a:rPr>
                          <m:t>𝑒</m:t>
                        </m:r>
                      </m:e>
                      <m:sup>
                        <m:d>
                          <m:dPr>
                            <m:begChr m:val="["/>
                            <m:endChr m:val="]"/>
                            <m:ctrlPr>
                              <a:rPr lang="en-US" sz="1400" b="0" i="1" u="none" strike="noStrike">
                                <a:solidFill>
                                  <a:srgbClr val="000000"/>
                                </a:solidFill>
                                <a:latin typeface="Cambria Math" panose="02040503050406030204" pitchFamily="18" charset="0"/>
                              </a:rPr>
                            </m:ctrlPr>
                          </m:dPr>
                          <m:e>
                            <m:r>
                              <a:rPr lang="en-US" sz="1400" b="0" i="1" u="none" strike="noStrike">
                                <a:solidFill>
                                  <a:srgbClr val="000000"/>
                                </a:solidFill>
                                <a:latin typeface="Cambria Math" panose="02040503050406030204" pitchFamily="18" charset="0"/>
                              </a:rPr>
                              <m:t>𝑎</m:t>
                            </m:r>
                            <m:r>
                              <a:rPr lang="en-US" sz="1400" b="0" i="1" u="none" strike="noStrike">
                                <a:solidFill>
                                  <a:srgbClr val="000000"/>
                                </a:solidFill>
                                <a:latin typeface="Cambria Math" panose="02040503050406030204" pitchFamily="18" charset="0"/>
                              </a:rPr>
                              <m:t>−</m:t>
                            </m:r>
                            <m:r>
                              <a:rPr lang="en-US" sz="1400" b="0" i="1" u="none" strike="noStrike">
                                <a:solidFill>
                                  <a:srgbClr val="000000"/>
                                </a:solidFill>
                                <a:latin typeface="Cambria Math" panose="02040503050406030204" pitchFamily="18" charset="0"/>
                              </a:rPr>
                              <m:t>𝑏</m:t>
                            </m:r>
                            <m:rad>
                              <m:radPr>
                                <m:degHide m:val="on"/>
                                <m:ctrlPr>
                                  <a:rPr lang="en-US" sz="1400" b="0" i="1" u="none" strike="noStrike">
                                    <a:solidFill>
                                      <a:srgbClr val="000000"/>
                                    </a:solidFill>
                                    <a:latin typeface="Cambria Math" panose="02040503050406030204" pitchFamily="18" charset="0"/>
                                  </a:rPr>
                                </m:ctrlPr>
                              </m:radPr>
                              <m:deg/>
                              <m:e>
                                <m:r>
                                  <a:rPr lang="en-US" sz="1400" b="0" i="1" u="none" strike="noStrike">
                                    <a:solidFill>
                                      <a:srgbClr val="000000"/>
                                    </a:solidFill>
                                    <a:latin typeface="Cambria Math" panose="02040503050406030204" pitchFamily="18" charset="0"/>
                                  </a:rPr>
                                  <m:t>𝑐</m:t>
                                </m:r>
                                <m:r>
                                  <a:rPr lang="en-US" sz="1400" b="0" i="1" u="none" strike="noStrike">
                                    <a:solidFill>
                                      <a:srgbClr val="000000"/>
                                    </a:solidFill>
                                    <a:latin typeface="Cambria Math" panose="02040503050406030204" pitchFamily="18" charset="0"/>
                                  </a:rPr>
                                  <m:t>+</m:t>
                                </m:r>
                                <m:f>
                                  <m:fPr>
                                    <m:ctrlPr>
                                      <a:rPr lang="en-US" sz="1400" b="0" i="1" u="none" strike="noStrike">
                                        <a:solidFill>
                                          <a:srgbClr val="000000"/>
                                        </a:solidFill>
                                        <a:latin typeface="Cambria Math" panose="02040503050406030204" pitchFamily="18" charset="0"/>
                                      </a:rPr>
                                    </m:ctrlPr>
                                  </m:fPr>
                                  <m:num>
                                    <m:r>
                                      <a:rPr lang="en-US" sz="1400" b="0" i="1" u="none" strike="noStrike">
                                        <a:solidFill>
                                          <a:srgbClr val="000000"/>
                                        </a:solidFill>
                                        <a:latin typeface="Cambria Math" panose="02040503050406030204" pitchFamily="18" charset="0"/>
                                      </a:rPr>
                                      <m:t>2</m:t>
                                    </m:r>
                                  </m:num>
                                  <m:den>
                                    <m:r>
                                      <a:rPr lang="en-US" sz="1400" b="0" i="1" u="none" strike="noStrike">
                                        <a:solidFill>
                                          <a:srgbClr val="000000"/>
                                        </a:solidFill>
                                        <a:latin typeface="Cambria Math" panose="02040503050406030204" pitchFamily="18" charset="0"/>
                                      </a:rPr>
                                      <m:t>𝑏</m:t>
                                    </m:r>
                                  </m:den>
                                </m:f>
                                <m:r>
                                  <a:rPr lang="en-US" sz="1400" b="0" i="1" u="none" strike="noStrike">
                                    <a:solidFill>
                                      <a:srgbClr val="000000"/>
                                    </a:solidFill>
                                    <a:latin typeface="Cambria Math" panose="02040503050406030204" pitchFamily="18" charset="0"/>
                                  </a:rPr>
                                  <m:t>∗</m:t>
                                </m:r>
                                <m:r>
                                  <a:rPr lang="en-US" sz="1400" b="0" i="1" u="none" strike="noStrike">
                                    <a:solidFill>
                                      <a:srgbClr val="000000"/>
                                    </a:solidFill>
                                    <a:latin typeface="Cambria Math" panose="02040503050406030204" pitchFamily="18" charset="0"/>
                                  </a:rPr>
                                  <m:t>𝑙𝑛</m:t>
                                </m:r>
                                <m:d>
                                  <m:dPr>
                                    <m:ctrlPr>
                                      <a:rPr lang="en-US" sz="1400" b="0" i="1" u="none" strike="noStrike">
                                        <a:solidFill>
                                          <a:srgbClr val="000000"/>
                                        </a:solidFill>
                                        <a:latin typeface="Cambria Math" panose="02040503050406030204" pitchFamily="18" charset="0"/>
                                      </a:rPr>
                                    </m:ctrlPr>
                                  </m:dPr>
                                  <m:e>
                                    <m:f>
                                      <m:fPr>
                                        <m:ctrlPr>
                                          <a:rPr lang="en-US" sz="1400" b="0" i="1" u="none" strike="noStrike">
                                            <a:solidFill>
                                              <a:srgbClr val="000000"/>
                                            </a:solidFill>
                                            <a:latin typeface="Cambria Math" panose="02040503050406030204" pitchFamily="18" charset="0"/>
                                          </a:rPr>
                                        </m:ctrlPr>
                                      </m:fPr>
                                      <m:num>
                                        <m:r>
                                          <a:rPr lang="en-US" sz="1400" b="0" i="1" u="none" strike="noStrike">
                                            <a:solidFill>
                                              <a:srgbClr val="000000"/>
                                            </a:solidFill>
                                            <a:latin typeface="Cambria Math" panose="02040503050406030204" pitchFamily="18" charset="0"/>
                                          </a:rPr>
                                          <m:t>𝑑</m:t>
                                        </m:r>
                                      </m:num>
                                      <m:den>
                                        <m:r>
                                          <a:rPr lang="en-US" sz="1400" b="0" i="1" u="none" strike="noStrike">
                                            <a:solidFill>
                                              <a:srgbClr val="000000"/>
                                            </a:solidFill>
                                            <a:latin typeface="Cambria Math" panose="02040503050406030204" pitchFamily="18" charset="0"/>
                                          </a:rPr>
                                          <m:t>𝑋</m:t>
                                        </m:r>
                                      </m:den>
                                    </m:f>
                                  </m:e>
                                </m:d>
                              </m:e>
                            </m:rad>
                          </m:e>
                        </m:d>
                      </m:sup>
                    </m:sSup>
                  </m:oMath>
                </m:oMathPara>
              </a14:m>
              <a:endParaRPr lang="en-US" sz="1400" b="0" i="0" u="none" strike="noStrike">
                <a:solidFill>
                  <a:srgbClr val="000000"/>
                </a:solidFill>
                <a:latin typeface="Calibri"/>
              </a:endParaRPr>
            </a:p>
          </xdr:txBody>
        </xdr:sp>
      </mc:Choice>
      <mc:Fallback xmlns="">
        <xdr:sp macro="" textlink="">
          <xdr:nvSpPr>
            <xdr:cNvPr id="4" name="TextBox 3"/>
            <xdr:cNvSpPr txBox="1"/>
          </xdr:nvSpPr>
          <xdr:spPr>
            <a:xfrm>
              <a:off x="2732099" y="14835187"/>
              <a:ext cx="1887526" cy="4905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ctr"/>
              <a:r>
                <a:rPr lang="en-US" sz="1400" b="0" i="0" u="none" strike="noStrike">
                  <a:solidFill>
                    <a:srgbClr val="000000"/>
                  </a:solidFill>
                  <a:latin typeface="Cambria Math" panose="02040503050406030204" pitchFamily="18" charset="0"/>
                </a:rPr>
                <a:t>𝑇=𝑒^[𝑎−𝑏√(𝑐+2/𝑏∗𝑙𝑛(𝑑/𝑋) )] </a:t>
              </a:r>
              <a:endParaRPr lang="en-US" sz="1400" b="0" i="0" u="none" strike="noStrike">
                <a:solidFill>
                  <a:srgbClr val="000000"/>
                </a:solidFill>
                <a:latin typeface="Calibri"/>
              </a:endParaRPr>
            </a:p>
          </xdr:txBody>
        </xdr:sp>
      </mc:Fallback>
    </mc:AlternateContent>
    <xdr:clientData/>
  </xdr:oneCellAnchor>
  <xdr:oneCellAnchor>
    <xdr:from>
      <xdr:col>1</xdr:col>
      <xdr:colOff>2662917</xdr:colOff>
      <xdr:row>108</xdr:row>
      <xdr:rowOff>1361</xdr:rowOff>
    </xdr:from>
    <xdr:ext cx="2257425" cy="304800"/>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00000000-0008-0000-0B00-000005000000}"/>
                </a:ext>
              </a:extLst>
            </xdr:cNvPr>
            <xdr:cNvSpPr txBox="1"/>
          </xdr:nvSpPr>
          <xdr:spPr>
            <a:xfrm>
              <a:off x="3370488" y="41299040"/>
              <a:ext cx="2257425" cy="304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14:m>
                <m:oMath xmlns:m="http://schemas.openxmlformats.org/officeDocument/2006/math">
                  <m:r>
                    <a:rPr lang="en-US" sz="1100" b="0" i="1" u="none" strike="noStrike">
                      <a:solidFill>
                        <a:srgbClr val="000000"/>
                      </a:solidFill>
                      <a:latin typeface="Cambria Math"/>
                    </a:rPr>
                    <m:t>𝐶</m:t>
                  </m:r>
                  <m:r>
                    <a:rPr lang="en-US" sz="1100" b="0" i="1" u="none" strike="noStrike">
                      <a:solidFill>
                        <a:srgbClr val="000000"/>
                      </a:solidFill>
                      <a:latin typeface="Cambria Math" panose="02040503050406030204" pitchFamily="18" charset="0"/>
                    </a:rPr>
                    <m:t>𝑇</m:t>
                  </m:r>
                  <m:r>
                    <a:rPr lang="en-US" sz="1100" b="0" i="1" u="none" strike="noStrike">
                      <a:solidFill>
                        <a:srgbClr val="000000"/>
                      </a:solidFill>
                      <a:latin typeface="Cambria Math" panose="02040503050406030204" pitchFamily="18" charset="0"/>
                    </a:rPr>
                    <m:t>=</m:t>
                  </m:r>
                  <m:d>
                    <m:dPr>
                      <m:ctrlPr>
                        <a:rPr lang="en-US" sz="1100" b="0" i="1" u="none" strike="noStrike">
                          <a:solidFill>
                            <a:srgbClr val="000000"/>
                          </a:solidFill>
                          <a:latin typeface="Cambria Math" panose="02040503050406030204" pitchFamily="18" charset="0"/>
                        </a:rPr>
                      </m:ctrlPr>
                    </m:dPr>
                    <m:e>
                      <m:r>
                        <a:rPr lang="en-US" sz="1100" b="0" i="1">
                          <a:solidFill>
                            <a:schemeClr val="dk1"/>
                          </a:solidFill>
                          <a:effectLst/>
                          <a:latin typeface="Cambria Math"/>
                          <a:ea typeface="+mn-ea"/>
                          <a:cs typeface="+mn-cs"/>
                        </a:rPr>
                        <m:t>𝑀𝑇𝐶𝐷</m:t>
                      </m:r>
                      <m:r>
                        <a:rPr lang="en-US" sz="1100" b="0" i="1">
                          <a:solidFill>
                            <a:schemeClr val="dk1"/>
                          </a:solidFill>
                          <a:effectLst/>
                          <a:latin typeface="Cambria Math"/>
                          <a:ea typeface="+mn-ea"/>
                          <a:cs typeface="+mn-cs"/>
                        </a:rPr>
                        <m:t>−35 </m:t>
                      </m:r>
                      <m:r>
                        <a:rPr lang="en-US" sz="1100" b="0" i="1">
                          <a:solidFill>
                            <a:schemeClr val="dk1"/>
                          </a:solidFill>
                          <a:effectLst/>
                          <a:latin typeface="Cambria Math"/>
                          <a:ea typeface="+mn-ea"/>
                          <a:cs typeface="+mn-cs"/>
                        </a:rPr>
                        <m:t>𝑓𝑡</m:t>
                      </m:r>
                    </m:e>
                  </m:d>
                </m:oMath>
              </a14:m>
              <a:r>
                <a:rPr lang="en-US" sz="1100" b="0" i="0" u="none" strike="noStrike">
                  <a:solidFill>
                    <a:srgbClr val="000000"/>
                  </a:solidFill>
                  <a:latin typeface="Calibri"/>
                </a:rPr>
                <a:t>*0.1 sec/ft</a:t>
              </a:r>
            </a:p>
          </xdr:txBody>
        </xdr:sp>
      </mc:Choice>
      <mc:Fallback xmlns="">
        <xdr:sp macro="" textlink="">
          <xdr:nvSpPr>
            <xdr:cNvPr id="5" name="TextBox 4"/>
            <xdr:cNvSpPr txBox="1"/>
          </xdr:nvSpPr>
          <xdr:spPr>
            <a:xfrm>
              <a:off x="3370488" y="41299040"/>
              <a:ext cx="2257425" cy="304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lang="en-US" sz="1100" b="0" i="0" u="none" strike="noStrike">
                  <a:solidFill>
                    <a:srgbClr val="000000"/>
                  </a:solidFill>
                  <a:latin typeface="Cambria Math"/>
                </a:rPr>
                <a:t>𝐶</a:t>
              </a:r>
              <a:r>
                <a:rPr lang="en-US" sz="1100" b="0" i="0" u="none" strike="noStrike">
                  <a:solidFill>
                    <a:srgbClr val="000000"/>
                  </a:solidFill>
                  <a:latin typeface="Cambria Math" panose="02040503050406030204" pitchFamily="18" charset="0"/>
                </a:rPr>
                <a:t>𝑇=(</a:t>
              </a:r>
              <a:r>
                <a:rPr lang="en-US" sz="1100" b="0" i="0">
                  <a:solidFill>
                    <a:schemeClr val="dk1"/>
                  </a:solidFill>
                  <a:effectLst/>
                  <a:latin typeface="Cambria Math"/>
                  <a:ea typeface="+mn-ea"/>
                  <a:cs typeface="+mn-cs"/>
                </a:rPr>
                <a:t>𝑀𝑇𝐶𝐷−35 𝑓𝑡</a:t>
              </a:r>
              <a:r>
                <a:rPr lang="en-US" sz="1100" b="0" i="0">
                  <a:solidFill>
                    <a:schemeClr val="dk1"/>
                  </a:solidFill>
                  <a:effectLst/>
                  <a:latin typeface="Cambria Math" panose="02040503050406030204" pitchFamily="18" charset="0"/>
                  <a:ea typeface="+mn-ea"/>
                  <a:cs typeface="+mn-cs"/>
                </a:rPr>
                <a:t>)</a:t>
              </a:r>
              <a:r>
                <a:rPr lang="en-US" sz="1100" b="0" i="0" u="none" strike="noStrike">
                  <a:solidFill>
                    <a:srgbClr val="000000"/>
                  </a:solidFill>
                  <a:latin typeface="Calibri"/>
                </a:rPr>
                <a:t>*0.1 sec/ft</a:t>
              </a:r>
            </a:p>
          </xdr:txBody>
        </xdr:sp>
      </mc:Fallback>
    </mc:AlternateContent>
    <xdr:clientData/>
  </xdr:oneCellAnchor>
  <xdr:oneCellAnchor>
    <xdr:from>
      <xdr:col>1</xdr:col>
      <xdr:colOff>2286000</xdr:colOff>
      <xdr:row>132</xdr:row>
      <xdr:rowOff>76200</xdr:rowOff>
    </xdr:from>
    <xdr:ext cx="2695575" cy="304800"/>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00000000-0008-0000-0B00-000006000000}"/>
                </a:ext>
              </a:extLst>
            </xdr:cNvPr>
            <xdr:cNvSpPr txBox="1"/>
          </xdr:nvSpPr>
          <xdr:spPr>
            <a:xfrm>
              <a:off x="2286000" y="31851600"/>
              <a:ext cx="2695575" cy="304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14:m>
                <m:oMathPara xmlns:m="http://schemas.openxmlformats.org/officeDocument/2006/math">
                  <m:oMathParaPr>
                    <m:jc m:val="centerGroup"/>
                  </m:oMathParaPr>
                  <m:oMath xmlns:m="http://schemas.openxmlformats.org/officeDocument/2006/math">
                    <m:r>
                      <a:rPr lang="en-US" sz="1100" b="0" i="1" u="none" strike="noStrike">
                        <a:solidFill>
                          <a:srgbClr val="000000"/>
                        </a:solidFill>
                        <a:latin typeface="Cambria Math"/>
                      </a:rPr>
                      <m:t>𝑀𝐴𝑀𝑇</m:t>
                    </m:r>
                    <m:r>
                      <a:rPr lang="en-US" sz="1100" b="0" i="1" u="none" strike="noStrike">
                        <a:solidFill>
                          <a:srgbClr val="000000"/>
                        </a:solidFill>
                        <a:latin typeface="Cambria Math" panose="02040503050406030204" pitchFamily="18" charset="0"/>
                      </a:rPr>
                      <m:t>=</m:t>
                    </m:r>
                    <m:r>
                      <a:rPr lang="en-US" sz="1100" b="0" i="1">
                        <a:solidFill>
                          <a:schemeClr val="dk1"/>
                        </a:solidFill>
                        <a:effectLst/>
                        <a:latin typeface="Cambria Math"/>
                        <a:ea typeface="+mn-ea"/>
                        <a:cs typeface="+mn-cs"/>
                      </a:rPr>
                      <m:t>2.46+0.5483∗</m:t>
                    </m:r>
                    <m:sSup>
                      <m:sSupPr>
                        <m:ctrlPr>
                          <a:rPr lang="en-US" sz="1100" b="0" i="1">
                            <a:solidFill>
                              <a:schemeClr val="dk1"/>
                            </a:solidFill>
                            <a:effectLst/>
                            <a:latin typeface="Cambria Math" panose="02040503050406030204" pitchFamily="18" charset="0"/>
                            <a:ea typeface="+mn-ea"/>
                            <a:cs typeface="+mn-cs"/>
                          </a:rPr>
                        </m:ctrlPr>
                      </m:sSupPr>
                      <m:e>
                        <m:d>
                          <m:dPr>
                            <m:ctrlPr>
                              <a:rPr lang="en-US" sz="1100" b="0" i="1">
                                <a:solidFill>
                                  <a:schemeClr val="dk1"/>
                                </a:solidFill>
                                <a:effectLst/>
                                <a:latin typeface="Cambria Math" panose="02040503050406030204" pitchFamily="18" charset="0"/>
                                <a:ea typeface="+mn-ea"/>
                                <a:cs typeface="+mn-cs"/>
                              </a:rPr>
                            </m:ctrlPr>
                          </m:dPr>
                          <m:e>
                            <m:r>
                              <a:rPr lang="en-US" sz="1100" b="0" i="1">
                                <a:solidFill>
                                  <a:schemeClr val="dk1"/>
                                </a:solidFill>
                                <a:effectLst/>
                                <a:latin typeface="Cambria Math"/>
                                <a:ea typeface="+mn-ea"/>
                                <a:cs typeface="+mn-cs"/>
                              </a:rPr>
                              <m:t>𝑙𝑖𝑛𝑒</m:t>
                            </m:r>
                            <m:r>
                              <a:rPr lang="en-US" sz="1100" b="0" i="1">
                                <a:solidFill>
                                  <a:schemeClr val="dk1"/>
                                </a:solidFill>
                                <a:effectLst/>
                                <a:latin typeface="Cambria Math"/>
                                <a:ea typeface="+mn-ea"/>
                                <a:cs typeface="+mn-cs"/>
                              </a:rPr>
                              <m:t> 45</m:t>
                            </m:r>
                          </m:e>
                        </m:d>
                      </m:e>
                      <m:sup>
                        <m:r>
                          <a:rPr lang="en-US" sz="1100" b="0" i="1">
                            <a:solidFill>
                              <a:schemeClr val="dk1"/>
                            </a:solidFill>
                            <a:effectLst/>
                            <a:latin typeface="Cambria Math"/>
                            <a:ea typeface="+mn-ea"/>
                            <a:cs typeface="+mn-cs"/>
                          </a:rPr>
                          <m:t>0.5463</m:t>
                        </m:r>
                      </m:sup>
                    </m:sSup>
                  </m:oMath>
                </m:oMathPara>
              </a14:m>
              <a:endParaRPr lang="en-US" sz="1100" b="0" i="0" u="none" strike="noStrike">
                <a:solidFill>
                  <a:srgbClr val="000000"/>
                </a:solidFill>
                <a:latin typeface="Calibri"/>
              </a:endParaRPr>
            </a:p>
          </xdr:txBody>
        </xdr:sp>
      </mc:Choice>
      <mc:Fallback xmlns="">
        <xdr:sp macro="" textlink="">
          <xdr:nvSpPr>
            <xdr:cNvPr id="6" name="TextBox 5"/>
            <xdr:cNvSpPr txBox="1"/>
          </xdr:nvSpPr>
          <xdr:spPr>
            <a:xfrm>
              <a:off x="2286000" y="31851600"/>
              <a:ext cx="2695575" cy="304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lang="en-US" sz="1100" b="0" i="0" u="none" strike="noStrike">
                  <a:solidFill>
                    <a:srgbClr val="000000"/>
                  </a:solidFill>
                  <a:latin typeface="Cambria Math"/>
                </a:rPr>
                <a:t>𝑀𝐴𝑀𝑇</a:t>
              </a:r>
              <a:r>
                <a:rPr lang="en-US" sz="1100" b="0" i="0" u="none" strike="noStrike">
                  <a:solidFill>
                    <a:srgbClr val="000000"/>
                  </a:solidFill>
                  <a:latin typeface="Cambria Math" panose="02040503050406030204" pitchFamily="18" charset="0"/>
                </a:rPr>
                <a:t>=</a:t>
              </a:r>
              <a:r>
                <a:rPr lang="en-US" sz="1100" b="0" i="0">
                  <a:solidFill>
                    <a:schemeClr val="dk1"/>
                  </a:solidFill>
                  <a:effectLst/>
                  <a:latin typeface="+mn-lt"/>
                  <a:ea typeface="+mn-ea"/>
                  <a:cs typeface="+mn-cs"/>
                </a:rPr>
                <a:t>2.46+0.5483∗(𝑙𝑖𝑛𝑒 45)</a:t>
              </a:r>
              <a:r>
                <a:rPr lang="en-US" sz="1100" b="0" i="0">
                  <a:solidFill>
                    <a:schemeClr val="dk1"/>
                  </a:solidFill>
                  <a:effectLst/>
                  <a:latin typeface="Cambria Math"/>
                  <a:ea typeface="+mn-ea"/>
                  <a:cs typeface="+mn-cs"/>
                </a:rPr>
                <a:t>^0.5463</a:t>
              </a:r>
              <a:endParaRPr lang="en-US" sz="1100" b="0" i="0" u="none" strike="noStrike">
                <a:solidFill>
                  <a:srgbClr val="000000"/>
                </a:solidFill>
                <a:latin typeface="Calibri"/>
              </a:endParaRPr>
            </a:p>
          </xdr:txBody>
        </xdr:sp>
      </mc:Fallback>
    </mc:AlternateContent>
    <xdr:clientData/>
  </xdr:oneCellAnchor>
  <xdr:oneCellAnchor>
    <xdr:from>
      <xdr:col>1</xdr:col>
      <xdr:colOff>2228850</xdr:colOff>
      <xdr:row>134</xdr:row>
      <xdr:rowOff>76200</xdr:rowOff>
    </xdr:from>
    <xdr:ext cx="2695575" cy="304800"/>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00000000-0008-0000-0B00-000007000000}"/>
                </a:ext>
              </a:extLst>
            </xdr:cNvPr>
            <xdr:cNvSpPr txBox="1"/>
          </xdr:nvSpPr>
          <xdr:spPr>
            <a:xfrm>
              <a:off x="2228850" y="32556450"/>
              <a:ext cx="2695575" cy="304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14:m>
                <m:oMathPara xmlns:m="http://schemas.openxmlformats.org/officeDocument/2006/math">
                  <m:oMathParaPr>
                    <m:jc m:val="centerGroup"/>
                  </m:oMathParaPr>
                  <m:oMath xmlns:m="http://schemas.openxmlformats.org/officeDocument/2006/math">
                    <m:r>
                      <a:rPr lang="en-US" sz="1100" b="0" i="1" u="none" strike="noStrike">
                        <a:solidFill>
                          <a:srgbClr val="000000"/>
                        </a:solidFill>
                        <a:latin typeface="Cambria Math"/>
                      </a:rPr>
                      <m:t>𝑀𝐴𝑀𝑇</m:t>
                    </m:r>
                    <m:r>
                      <a:rPr lang="en-US" sz="1100" b="0" i="1" u="none" strike="noStrike">
                        <a:solidFill>
                          <a:srgbClr val="000000"/>
                        </a:solidFill>
                        <a:latin typeface="Cambria Math" panose="02040503050406030204" pitchFamily="18" charset="0"/>
                      </a:rPr>
                      <m:t>=</m:t>
                    </m:r>
                    <m:r>
                      <a:rPr lang="en-US" sz="1100" b="0" i="1">
                        <a:solidFill>
                          <a:schemeClr val="dk1"/>
                        </a:solidFill>
                        <a:effectLst/>
                        <a:latin typeface="Cambria Math"/>
                        <a:ea typeface="+mn-ea"/>
                        <a:cs typeface="+mn-cs"/>
                      </a:rPr>
                      <m:t>2.48+0.6026∗</m:t>
                    </m:r>
                    <m:sSup>
                      <m:sSupPr>
                        <m:ctrlPr>
                          <a:rPr lang="en-US" sz="1100" b="0" i="1">
                            <a:solidFill>
                              <a:schemeClr val="dk1"/>
                            </a:solidFill>
                            <a:effectLst/>
                            <a:latin typeface="Cambria Math" panose="02040503050406030204" pitchFamily="18" charset="0"/>
                            <a:ea typeface="+mn-ea"/>
                            <a:cs typeface="+mn-cs"/>
                          </a:rPr>
                        </m:ctrlPr>
                      </m:sSupPr>
                      <m:e>
                        <m:d>
                          <m:dPr>
                            <m:ctrlPr>
                              <a:rPr lang="en-US" sz="1100" b="0" i="1">
                                <a:solidFill>
                                  <a:schemeClr val="dk1"/>
                                </a:solidFill>
                                <a:effectLst/>
                                <a:latin typeface="Cambria Math" panose="02040503050406030204" pitchFamily="18" charset="0"/>
                                <a:ea typeface="+mn-ea"/>
                                <a:cs typeface="+mn-cs"/>
                              </a:rPr>
                            </m:ctrlPr>
                          </m:dPr>
                          <m:e>
                            <m:r>
                              <a:rPr lang="en-US" sz="1100" b="0" i="1">
                                <a:solidFill>
                                  <a:schemeClr val="dk1"/>
                                </a:solidFill>
                                <a:effectLst/>
                                <a:latin typeface="Cambria Math"/>
                                <a:ea typeface="+mn-ea"/>
                                <a:cs typeface="+mn-cs"/>
                              </a:rPr>
                              <m:t>𝑙𝑖𝑛𝑒</m:t>
                            </m:r>
                            <m:r>
                              <a:rPr lang="en-US" sz="1100" b="0" i="1">
                                <a:solidFill>
                                  <a:schemeClr val="dk1"/>
                                </a:solidFill>
                                <a:effectLst/>
                                <a:latin typeface="Cambria Math"/>
                                <a:ea typeface="+mn-ea"/>
                                <a:cs typeface="+mn-cs"/>
                              </a:rPr>
                              <m:t> 45</m:t>
                            </m:r>
                          </m:e>
                        </m:d>
                      </m:e>
                      <m:sup>
                        <m:r>
                          <a:rPr lang="en-US" sz="1100" b="0" i="1">
                            <a:solidFill>
                              <a:schemeClr val="dk1"/>
                            </a:solidFill>
                            <a:effectLst/>
                            <a:latin typeface="Cambria Math"/>
                            <a:ea typeface="+mn-ea"/>
                            <a:cs typeface="+mn-cs"/>
                          </a:rPr>
                          <m:t>0.5474</m:t>
                        </m:r>
                      </m:sup>
                    </m:sSup>
                  </m:oMath>
                </m:oMathPara>
              </a14:m>
              <a:endParaRPr lang="en-US" sz="1100" b="0" i="0" u="none" strike="noStrike">
                <a:solidFill>
                  <a:srgbClr val="000000"/>
                </a:solidFill>
                <a:latin typeface="Calibri"/>
              </a:endParaRPr>
            </a:p>
          </xdr:txBody>
        </xdr:sp>
      </mc:Choice>
      <mc:Fallback xmlns="">
        <xdr:sp macro="" textlink="">
          <xdr:nvSpPr>
            <xdr:cNvPr id="7" name="TextBox 6"/>
            <xdr:cNvSpPr txBox="1"/>
          </xdr:nvSpPr>
          <xdr:spPr>
            <a:xfrm>
              <a:off x="2228850" y="32556450"/>
              <a:ext cx="2695575" cy="304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lang="en-US" sz="1100" b="0" i="0" u="none" strike="noStrike">
                  <a:solidFill>
                    <a:srgbClr val="000000"/>
                  </a:solidFill>
                  <a:latin typeface="Cambria Math"/>
                </a:rPr>
                <a:t>𝑀𝐴𝑀𝑇</a:t>
              </a:r>
              <a:r>
                <a:rPr lang="en-US" sz="1100" b="0" i="0" u="none" strike="noStrike">
                  <a:solidFill>
                    <a:srgbClr val="000000"/>
                  </a:solidFill>
                  <a:latin typeface="Cambria Math" panose="02040503050406030204" pitchFamily="18" charset="0"/>
                </a:rPr>
                <a:t>=</a:t>
              </a:r>
              <a:r>
                <a:rPr lang="en-US" sz="1100" b="0" i="0">
                  <a:solidFill>
                    <a:schemeClr val="dk1"/>
                  </a:solidFill>
                  <a:effectLst/>
                  <a:latin typeface="+mn-lt"/>
                  <a:ea typeface="+mn-ea"/>
                  <a:cs typeface="+mn-cs"/>
                </a:rPr>
                <a:t>2.4</a:t>
              </a:r>
              <a:r>
                <a:rPr lang="en-US" sz="1100" b="0" i="0">
                  <a:solidFill>
                    <a:schemeClr val="dk1"/>
                  </a:solidFill>
                  <a:effectLst/>
                  <a:latin typeface="Cambria Math"/>
                  <a:ea typeface="+mn-ea"/>
                  <a:cs typeface="+mn-cs"/>
                </a:rPr>
                <a:t>8</a:t>
              </a:r>
              <a:r>
                <a:rPr lang="en-US" sz="1100" b="0" i="0">
                  <a:solidFill>
                    <a:schemeClr val="dk1"/>
                  </a:solidFill>
                  <a:effectLst/>
                  <a:latin typeface="+mn-lt"/>
                  <a:ea typeface="+mn-ea"/>
                  <a:cs typeface="+mn-cs"/>
                </a:rPr>
                <a:t>+0.</a:t>
              </a:r>
              <a:r>
                <a:rPr lang="en-US" sz="1100" b="0" i="0">
                  <a:solidFill>
                    <a:schemeClr val="dk1"/>
                  </a:solidFill>
                  <a:effectLst/>
                  <a:latin typeface="Cambria Math"/>
                  <a:ea typeface="+mn-ea"/>
                  <a:cs typeface="+mn-cs"/>
                </a:rPr>
                <a:t>6026</a:t>
              </a:r>
              <a:r>
                <a:rPr lang="en-US" sz="1100" b="0" i="0">
                  <a:solidFill>
                    <a:schemeClr val="dk1"/>
                  </a:solidFill>
                  <a:effectLst/>
                  <a:latin typeface="+mn-lt"/>
                  <a:ea typeface="+mn-ea"/>
                  <a:cs typeface="+mn-cs"/>
                </a:rPr>
                <a:t>∗(𝑙𝑖𝑛𝑒 45)</a:t>
              </a:r>
              <a:r>
                <a:rPr lang="en-US" sz="1100" b="0" i="0">
                  <a:solidFill>
                    <a:schemeClr val="dk1"/>
                  </a:solidFill>
                  <a:effectLst/>
                  <a:latin typeface="Cambria Math"/>
                  <a:ea typeface="+mn-ea"/>
                  <a:cs typeface="+mn-cs"/>
                </a:rPr>
                <a:t>^0.5474</a:t>
              </a:r>
              <a:endParaRPr lang="en-US" sz="1100" b="0" i="0" u="none" strike="noStrike">
                <a:solidFill>
                  <a:srgbClr val="000000"/>
                </a:solidFill>
                <a:latin typeface="Calibri"/>
              </a:endParaRPr>
            </a:p>
          </xdr:txBody>
        </xdr:sp>
      </mc:Fallback>
    </mc:AlternateContent>
    <xdr:clientData/>
  </xdr:oneCellAnchor>
  <xdr:oneCellAnchor>
    <xdr:from>
      <xdr:col>1</xdr:col>
      <xdr:colOff>2152650</xdr:colOff>
      <xdr:row>138</xdr:row>
      <xdr:rowOff>114300</xdr:rowOff>
    </xdr:from>
    <xdr:ext cx="2695575" cy="304800"/>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00000000-0008-0000-0B00-000008000000}"/>
                </a:ext>
              </a:extLst>
            </xdr:cNvPr>
            <xdr:cNvSpPr txBox="1"/>
          </xdr:nvSpPr>
          <xdr:spPr>
            <a:xfrm>
              <a:off x="2152650" y="33680400"/>
              <a:ext cx="2695575" cy="304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14:m>
                <m:oMathPara xmlns:m="http://schemas.openxmlformats.org/officeDocument/2006/math">
                  <m:oMathParaPr>
                    <m:jc m:val="centerGroup"/>
                  </m:oMathParaPr>
                  <m:oMath xmlns:m="http://schemas.openxmlformats.org/officeDocument/2006/math">
                    <m:r>
                      <a:rPr lang="en-US" sz="1100" b="0" i="1" u="none" strike="noStrike">
                        <a:solidFill>
                          <a:srgbClr val="000000"/>
                        </a:solidFill>
                        <a:latin typeface="Cambria Math"/>
                      </a:rPr>
                      <m:t>𝑀𝐴𝑀𝑇</m:t>
                    </m:r>
                    <m:r>
                      <a:rPr lang="en-US" sz="1100" b="0" i="1" u="none" strike="noStrike">
                        <a:solidFill>
                          <a:srgbClr val="000000"/>
                        </a:solidFill>
                        <a:latin typeface="Cambria Math" panose="02040503050406030204" pitchFamily="18" charset="0"/>
                      </a:rPr>
                      <m:t>=</m:t>
                    </m:r>
                    <m:r>
                      <a:rPr lang="en-US" sz="1100" b="0" i="1">
                        <a:solidFill>
                          <a:schemeClr val="dk1"/>
                        </a:solidFill>
                        <a:effectLst/>
                        <a:latin typeface="Cambria Math"/>
                        <a:ea typeface="+mn-ea"/>
                        <a:cs typeface="+mn-cs"/>
                      </a:rPr>
                      <m:t>2.72+0.5333∗</m:t>
                    </m:r>
                    <m:sSup>
                      <m:sSupPr>
                        <m:ctrlPr>
                          <a:rPr lang="en-US" sz="1100" b="0" i="1">
                            <a:solidFill>
                              <a:schemeClr val="dk1"/>
                            </a:solidFill>
                            <a:effectLst/>
                            <a:latin typeface="Cambria Math" panose="02040503050406030204" pitchFamily="18" charset="0"/>
                            <a:ea typeface="+mn-ea"/>
                            <a:cs typeface="+mn-cs"/>
                          </a:rPr>
                        </m:ctrlPr>
                      </m:sSupPr>
                      <m:e>
                        <m:d>
                          <m:dPr>
                            <m:ctrlPr>
                              <a:rPr lang="en-US" sz="1100" b="0" i="1">
                                <a:solidFill>
                                  <a:schemeClr val="dk1"/>
                                </a:solidFill>
                                <a:effectLst/>
                                <a:latin typeface="Cambria Math" panose="02040503050406030204" pitchFamily="18" charset="0"/>
                                <a:ea typeface="+mn-ea"/>
                                <a:cs typeface="+mn-cs"/>
                              </a:rPr>
                            </m:ctrlPr>
                          </m:dPr>
                          <m:e>
                            <m:r>
                              <a:rPr lang="en-US" sz="1100" b="0" i="1">
                                <a:solidFill>
                                  <a:schemeClr val="dk1"/>
                                </a:solidFill>
                                <a:effectLst/>
                                <a:latin typeface="Cambria Math"/>
                                <a:ea typeface="+mn-ea"/>
                                <a:cs typeface="+mn-cs"/>
                              </a:rPr>
                              <m:t>𝑙𝑖𝑛𝑒</m:t>
                            </m:r>
                            <m:r>
                              <a:rPr lang="en-US" sz="1100" b="0" i="1">
                                <a:solidFill>
                                  <a:schemeClr val="dk1"/>
                                </a:solidFill>
                                <a:effectLst/>
                                <a:latin typeface="Cambria Math"/>
                                <a:ea typeface="+mn-ea"/>
                                <a:cs typeface="+mn-cs"/>
                              </a:rPr>
                              <m:t> 45</m:t>
                            </m:r>
                          </m:e>
                        </m:d>
                      </m:e>
                      <m:sup>
                        <m:r>
                          <a:rPr lang="en-US" sz="1100" b="0" i="1">
                            <a:solidFill>
                              <a:schemeClr val="dk1"/>
                            </a:solidFill>
                            <a:effectLst/>
                            <a:latin typeface="Cambria Math"/>
                            <a:ea typeface="+mn-ea"/>
                            <a:cs typeface="+mn-cs"/>
                          </a:rPr>
                          <m:t>0.5348</m:t>
                        </m:r>
                      </m:sup>
                    </m:sSup>
                  </m:oMath>
                </m:oMathPara>
              </a14:m>
              <a:endParaRPr lang="en-US" sz="1100" b="0" i="0" u="none" strike="noStrike">
                <a:solidFill>
                  <a:srgbClr val="000000"/>
                </a:solidFill>
                <a:latin typeface="Calibri"/>
              </a:endParaRPr>
            </a:p>
          </xdr:txBody>
        </xdr:sp>
      </mc:Choice>
      <mc:Fallback xmlns="">
        <xdr:sp macro="" textlink="">
          <xdr:nvSpPr>
            <xdr:cNvPr id="8" name="TextBox 7"/>
            <xdr:cNvSpPr txBox="1"/>
          </xdr:nvSpPr>
          <xdr:spPr>
            <a:xfrm>
              <a:off x="2152650" y="33680400"/>
              <a:ext cx="2695575" cy="304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lang="en-US" sz="1100" b="0" i="0" u="none" strike="noStrike">
                  <a:solidFill>
                    <a:srgbClr val="000000"/>
                  </a:solidFill>
                  <a:latin typeface="Cambria Math"/>
                </a:rPr>
                <a:t>𝑀𝐴𝑀𝑇</a:t>
              </a:r>
              <a:r>
                <a:rPr lang="en-US" sz="1100" b="0" i="0" u="none" strike="noStrike">
                  <a:solidFill>
                    <a:srgbClr val="000000"/>
                  </a:solidFill>
                  <a:latin typeface="Cambria Math" panose="02040503050406030204" pitchFamily="18" charset="0"/>
                </a:rPr>
                <a:t>=</a:t>
              </a:r>
              <a:r>
                <a:rPr lang="en-US" sz="1100" b="0" i="0">
                  <a:solidFill>
                    <a:schemeClr val="dk1"/>
                  </a:solidFill>
                  <a:effectLst/>
                  <a:latin typeface="+mn-lt"/>
                  <a:ea typeface="+mn-ea"/>
                  <a:cs typeface="+mn-cs"/>
                </a:rPr>
                <a:t>2.</a:t>
              </a:r>
              <a:r>
                <a:rPr lang="en-US" sz="1100" b="0" i="0">
                  <a:solidFill>
                    <a:schemeClr val="dk1"/>
                  </a:solidFill>
                  <a:effectLst/>
                  <a:latin typeface="Cambria Math"/>
                  <a:ea typeface="+mn-ea"/>
                  <a:cs typeface="+mn-cs"/>
                </a:rPr>
                <a:t>72</a:t>
              </a:r>
              <a:r>
                <a:rPr lang="en-US" sz="1100" b="0" i="0">
                  <a:solidFill>
                    <a:schemeClr val="dk1"/>
                  </a:solidFill>
                  <a:effectLst/>
                  <a:latin typeface="+mn-lt"/>
                  <a:ea typeface="+mn-ea"/>
                  <a:cs typeface="+mn-cs"/>
                </a:rPr>
                <a:t>+0.</a:t>
              </a:r>
              <a:r>
                <a:rPr lang="en-US" sz="1100" b="0" i="0">
                  <a:solidFill>
                    <a:schemeClr val="dk1"/>
                  </a:solidFill>
                  <a:effectLst/>
                  <a:latin typeface="Cambria Math"/>
                  <a:ea typeface="+mn-ea"/>
                  <a:cs typeface="+mn-cs"/>
                </a:rPr>
                <a:t>5333</a:t>
              </a:r>
              <a:r>
                <a:rPr lang="en-US" sz="1100" b="0" i="0">
                  <a:solidFill>
                    <a:schemeClr val="dk1"/>
                  </a:solidFill>
                  <a:effectLst/>
                  <a:latin typeface="+mn-lt"/>
                  <a:ea typeface="+mn-ea"/>
                  <a:cs typeface="+mn-cs"/>
                </a:rPr>
                <a:t>∗(𝑙𝑖𝑛𝑒 45)</a:t>
              </a:r>
              <a:r>
                <a:rPr lang="en-US" sz="1100" b="0" i="0">
                  <a:solidFill>
                    <a:schemeClr val="dk1"/>
                  </a:solidFill>
                  <a:effectLst/>
                  <a:latin typeface="Cambria Math"/>
                  <a:ea typeface="+mn-ea"/>
                  <a:cs typeface="+mn-cs"/>
                </a:rPr>
                <a:t>^0.5348</a:t>
              </a:r>
              <a:endParaRPr lang="en-US" sz="1100" b="0" i="0" u="none" strike="noStrike">
                <a:solidFill>
                  <a:srgbClr val="000000"/>
                </a:solidFill>
                <a:latin typeface="Calibri"/>
              </a:endParaRPr>
            </a:p>
          </xdr:txBody>
        </xdr:sp>
      </mc:Fallback>
    </mc:AlternateContent>
    <xdr:clientData/>
  </xdr:oneCellAnchor>
  <xdr:oneCellAnchor>
    <xdr:from>
      <xdr:col>1</xdr:col>
      <xdr:colOff>2133600</xdr:colOff>
      <xdr:row>142</xdr:row>
      <xdr:rowOff>114300</xdr:rowOff>
    </xdr:from>
    <xdr:ext cx="2695575" cy="304800"/>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00000000-0008-0000-0B00-00000A000000}"/>
                </a:ext>
              </a:extLst>
            </xdr:cNvPr>
            <xdr:cNvSpPr txBox="1"/>
          </xdr:nvSpPr>
          <xdr:spPr>
            <a:xfrm>
              <a:off x="2133600" y="34766250"/>
              <a:ext cx="2695575" cy="304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14:m>
                <m:oMathPara xmlns:m="http://schemas.openxmlformats.org/officeDocument/2006/math">
                  <m:oMathParaPr>
                    <m:jc m:val="centerGroup"/>
                  </m:oMathParaPr>
                  <m:oMath xmlns:m="http://schemas.openxmlformats.org/officeDocument/2006/math">
                    <m:r>
                      <a:rPr lang="en-US" sz="1100" b="0" i="1" u="none" strike="noStrike">
                        <a:solidFill>
                          <a:srgbClr val="000000"/>
                        </a:solidFill>
                        <a:latin typeface="Cambria Math"/>
                      </a:rPr>
                      <m:t>𝑀𝐴𝑀𝑇</m:t>
                    </m:r>
                    <m:r>
                      <a:rPr lang="en-US" sz="1100" b="0" i="1" u="none" strike="noStrike">
                        <a:solidFill>
                          <a:srgbClr val="000000"/>
                        </a:solidFill>
                        <a:latin typeface="Cambria Math" panose="02040503050406030204" pitchFamily="18" charset="0"/>
                      </a:rPr>
                      <m:t>=</m:t>
                    </m:r>
                    <m:r>
                      <a:rPr lang="en-US" sz="1100" b="0" i="1">
                        <a:solidFill>
                          <a:schemeClr val="dk1"/>
                        </a:solidFill>
                        <a:effectLst/>
                        <a:latin typeface="Cambria Math"/>
                        <a:ea typeface="+mn-ea"/>
                        <a:cs typeface="+mn-cs"/>
                      </a:rPr>
                      <m:t>3.99+1.2559∗</m:t>
                    </m:r>
                    <m:sSup>
                      <m:sSupPr>
                        <m:ctrlPr>
                          <a:rPr lang="en-US" sz="1100" b="0" i="1">
                            <a:solidFill>
                              <a:schemeClr val="dk1"/>
                            </a:solidFill>
                            <a:effectLst/>
                            <a:latin typeface="Cambria Math" panose="02040503050406030204" pitchFamily="18" charset="0"/>
                            <a:ea typeface="+mn-ea"/>
                            <a:cs typeface="+mn-cs"/>
                          </a:rPr>
                        </m:ctrlPr>
                      </m:sSupPr>
                      <m:e>
                        <m:d>
                          <m:dPr>
                            <m:ctrlPr>
                              <a:rPr lang="en-US" sz="1100" b="0" i="1">
                                <a:solidFill>
                                  <a:schemeClr val="dk1"/>
                                </a:solidFill>
                                <a:effectLst/>
                                <a:latin typeface="Cambria Math" panose="02040503050406030204" pitchFamily="18" charset="0"/>
                                <a:ea typeface="+mn-ea"/>
                                <a:cs typeface="+mn-cs"/>
                              </a:rPr>
                            </m:ctrlPr>
                          </m:dPr>
                          <m:e>
                            <m:r>
                              <a:rPr lang="en-US" sz="1100" b="0" i="1">
                                <a:solidFill>
                                  <a:schemeClr val="dk1"/>
                                </a:solidFill>
                                <a:effectLst/>
                                <a:latin typeface="Cambria Math"/>
                                <a:ea typeface="+mn-ea"/>
                                <a:cs typeface="+mn-cs"/>
                              </a:rPr>
                              <m:t>𝑙𝑖𝑛𝑒</m:t>
                            </m:r>
                            <m:r>
                              <a:rPr lang="en-US" sz="1100" b="0" i="1">
                                <a:solidFill>
                                  <a:schemeClr val="dk1"/>
                                </a:solidFill>
                                <a:effectLst/>
                                <a:latin typeface="Cambria Math"/>
                                <a:ea typeface="+mn-ea"/>
                                <a:cs typeface="+mn-cs"/>
                              </a:rPr>
                              <m:t> 45</m:t>
                            </m:r>
                          </m:e>
                        </m:d>
                      </m:e>
                      <m:sup>
                        <m:r>
                          <a:rPr lang="en-US" sz="1100" b="0" i="1">
                            <a:solidFill>
                              <a:schemeClr val="dk1"/>
                            </a:solidFill>
                            <a:effectLst/>
                            <a:latin typeface="Cambria Math"/>
                            <a:ea typeface="+mn-ea"/>
                            <a:cs typeface="+mn-cs"/>
                          </a:rPr>
                          <m:t>0.5188</m:t>
                        </m:r>
                      </m:sup>
                    </m:sSup>
                  </m:oMath>
                </m:oMathPara>
              </a14:m>
              <a:endParaRPr lang="en-US" sz="1100" b="0" i="0" u="none" strike="noStrike">
                <a:solidFill>
                  <a:srgbClr val="000000"/>
                </a:solidFill>
                <a:latin typeface="Calibri"/>
              </a:endParaRPr>
            </a:p>
          </xdr:txBody>
        </xdr:sp>
      </mc:Choice>
      <mc:Fallback xmlns="">
        <xdr:sp macro="" textlink="">
          <xdr:nvSpPr>
            <xdr:cNvPr id="10" name="TextBox 9"/>
            <xdr:cNvSpPr txBox="1"/>
          </xdr:nvSpPr>
          <xdr:spPr>
            <a:xfrm>
              <a:off x="2133600" y="34766250"/>
              <a:ext cx="2695575" cy="304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lang="en-US" sz="1100" b="0" i="0" u="none" strike="noStrike">
                  <a:solidFill>
                    <a:srgbClr val="000000"/>
                  </a:solidFill>
                  <a:latin typeface="Cambria Math"/>
                </a:rPr>
                <a:t>𝑀𝐴𝑀𝑇</a:t>
              </a:r>
              <a:r>
                <a:rPr lang="en-US" sz="1100" b="0" i="0" u="none" strike="noStrike">
                  <a:solidFill>
                    <a:srgbClr val="000000"/>
                  </a:solidFill>
                  <a:latin typeface="Cambria Math" panose="02040503050406030204" pitchFamily="18" charset="0"/>
                </a:rPr>
                <a:t>=</a:t>
              </a:r>
              <a:r>
                <a:rPr lang="en-US" sz="1100" b="0" i="0">
                  <a:solidFill>
                    <a:schemeClr val="dk1"/>
                  </a:solidFill>
                  <a:effectLst/>
                  <a:latin typeface="Cambria Math"/>
                  <a:ea typeface="+mn-ea"/>
                  <a:cs typeface="+mn-cs"/>
                </a:rPr>
                <a:t>3.99</a:t>
              </a:r>
              <a:r>
                <a:rPr lang="en-US" sz="1100" b="0" i="0">
                  <a:solidFill>
                    <a:schemeClr val="dk1"/>
                  </a:solidFill>
                  <a:effectLst/>
                  <a:latin typeface="+mn-lt"/>
                  <a:ea typeface="+mn-ea"/>
                  <a:cs typeface="+mn-cs"/>
                </a:rPr>
                <a:t>+</a:t>
              </a:r>
              <a:r>
                <a:rPr lang="en-US" sz="1100" b="0" i="0">
                  <a:solidFill>
                    <a:schemeClr val="dk1"/>
                  </a:solidFill>
                  <a:effectLst/>
                  <a:latin typeface="Cambria Math"/>
                  <a:ea typeface="+mn-ea"/>
                  <a:cs typeface="+mn-cs"/>
                </a:rPr>
                <a:t>1.2559</a:t>
              </a:r>
              <a:r>
                <a:rPr lang="en-US" sz="1100" b="0" i="0">
                  <a:solidFill>
                    <a:schemeClr val="dk1"/>
                  </a:solidFill>
                  <a:effectLst/>
                  <a:latin typeface="+mn-lt"/>
                  <a:ea typeface="+mn-ea"/>
                  <a:cs typeface="+mn-cs"/>
                </a:rPr>
                <a:t>∗(𝑙𝑖𝑛𝑒 45)</a:t>
              </a:r>
              <a:r>
                <a:rPr lang="en-US" sz="1100" b="0" i="0">
                  <a:solidFill>
                    <a:schemeClr val="dk1"/>
                  </a:solidFill>
                  <a:effectLst/>
                  <a:latin typeface="Cambria Math"/>
                  <a:ea typeface="+mn-ea"/>
                  <a:cs typeface="+mn-cs"/>
                </a:rPr>
                <a:t>^0.5188</a:t>
              </a:r>
              <a:endParaRPr lang="en-US" sz="1100" b="0" i="0" u="none" strike="noStrike">
                <a:solidFill>
                  <a:srgbClr val="000000"/>
                </a:solidFill>
                <a:latin typeface="Calibri"/>
              </a:endParaRPr>
            </a:p>
          </xdr:txBody>
        </xdr:sp>
      </mc:Fallback>
    </mc:AlternateContent>
    <xdr:clientData/>
  </xdr:oneCellAnchor>
  <xdr:oneCellAnchor>
    <xdr:from>
      <xdr:col>1</xdr:col>
      <xdr:colOff>2000250</xdr:colOff>
      <xdr:row>151</xdr:row>
      <xdr:rowOff>114300</xdr:rowOff>
    </xdr:from>
    <xdr:ext cx="3209925" cy="304800"/>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00000000-0008-0000-0B00-00000B000000}"/>
                </a:ext>
              </a:extLst>
            </xdr:cNvPr>
            <xdr:cNvSpPr txBox="1"/>
          </xdr:nvSpPr>
          <xdr:spPr>
            <a:xfrm>
              <a:off x="2000250" y="36804600"/>
              <a:ext cx="3209925" cy="304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14:m>
                <m:oMathPara xmlns:m="http://schemas.openxmlformats.org/officeDocument/2006/math">
                  <m:oMathParaPr>
                    <m:jc m:val="centerGroup"/>
                  </m:oMathParaPr>
                  <m:oMath xmlns:m="http://schemas.openxmlformats.org/officeDocument/2006/math">
                    <m:r>
                      <a:rPr lang="en-US" sz="1100" b="0" i="1" u="none" strike="noStrike">
                        <a:solidFill>
                          <a:srgbClr val="000000"/>
                        </a:solidFill>
                        <a:latin typeface="Cambria Math"/>
                      </a:rPr>
                      <m:t>𝑀𝐶𝑀𝑇</m:t>
                    </m:r>
                    <m:r>
                      <a:rPr lang="en-US" sz="1100" b="0" i="1" u="none" strike="noStrike">
                        <a:solidFill>
                          <a:srgbClr val="000000"/>
                        </a:solidFill>
                        <a:latin typeface="Cambria Math" panose="02040503050406030204" pitchFamily="18" charset="0"/>
                      </a:rPr>
                      <m:t>=</m:t>
                    </m:r>
                    <m:r>
                      <a:rPr lang="en-US" sz="1100" b="0" i="1">
                        <a:solidFill>
                          <a:schemeClr val="dk1"/>
                        </a:solidFill>
                        <a:effectLst/>
                        <a:latin typeface="Cambria Math"/>
                        <a:ea typeface="+mn-ea"/>
                        <a:cs typeface="+mn-cs"/>
                      </a:rPr>
                      <m:t>2.46+0.5483∗</m:t>
                    </m:r>
                    <m:sSup>
                      <m:sSupPr>
                        <m:ctrlPr>
                          <a:rPr lang="en-US" sz="1100" b="0" i="1">
                            <a:solidFill>
                              <a:schemeClr val="dk1"/>
                            </a:solidFill>
                            <a:effectLst/>
                            <a:latin typeface="Cambria Math" panose="02040503050406030204" pitchFamily="18" charset="0"/>
                            <a:ea typeface="+mn-ea"/>
                            <a:cs typeface="+mn-cs"/>
                          </a:rPr>
                        </m:ctrlPr>
                      </m:sSupPr>
                      <m:e>
                        <m:d>
                          <m:dPr>
                            <m:ctrlPr>
                              <a:rPr lang="en-US" sz="1100" b="0" i="1">
                                <a:solidFill>
                                  <a:schemeClr val="dk1"/>
                                </a:solidFill>
                                <a:effectLst/>
                                <a:latin typeface="Cambria Math" panose="02040503050406030204" pitchFamily="18" charset="0"/>
                                <a:ea typeface="+mn-ea"/>
                                <a:cs typeface="+mn-cs"/>
                              </a:rPr>
                            </m:ctrlPr>
                          </m:dPr>
                          <m:e>
                            <m:r>
                              <a:rPr lang="en-US" sz="1100" b="0" i="1">
                                <a:solidFill>
                                  <a:schemeClr val="dk1"/>
                                </a:solidFill>
                                <a:effectLst/>
                                <a:latin typeface="Cambria Math"/>
                                <a:ea typeface="+mn-ea"/>
                                <a:cs typeface="+mn-cs"/>
                              </a:rPr>
                              <m:t>𝑙𝑖𝑛𝑒</m:t>
                            </m:r>
                            <m:r>
                              <a:rPr lang="en-US" sz="1100" b="0" i="1">
                                <a:solidFill>
                                  <a:schemeClr val="dk1"/>
                                </a:solidFill>
                                <a:effectLst/>
                                <a:latin typeface="Cambria Math"/>
                                <a:ea typeface="+mn-ea"/>
                                <a:cs typeface="+mn-cs"/>
                              </a:rPr>
                              <m:t> 45+</m:t>
                            </m:r>
                            <m:r>
                              <a:rPr lang="en-US" sz="1100" b="0" i="1">
                                <a:solidFill>
                                  <a:schemeClr val="dk1"/>
                                </a:solidFill>
                                <a:effectLst/>
                                <a:latin typeface="Cambria Math"/>
                                <a:ea typeface="+mn-ea"/>
                                <a:cs typeface="+mn-cs"/>
                              </a:rPr>
                              <m:t>𝑙𝑖𝑛𝑒</m:t>
                            </m:r>
                            <m:r>
                              <a:rPr lang="en-US" sz="1100" b="0" i="1">
                                <a:solidFill>
                                  <a:schemeClr val="dk1"/>
                                </a:solidFill>
                                <a:effectLst/>
                                <a:latin typeface="Cambria Math"/>
                                <a:ea typeface="+mn-ea"/>
                                <a:cs typeface="+mn-cs"/>
                              </a:rPr>
                              <m:t> 3</m:t>
                            </m:r>
                          </m:e>
                        </m:d>
                      </m:e>
                      <m:sup>
                        <m:r>
                          <a:rPr lang="en-US" sz="1100" b="0" i="1">
                            <a:solidFill>
                              <a:schemeClr val="dk1"/>
                            </a:solidFill>
                            <a:effectLst/>
                            <a:latin typeface="Cambria Math"/>
                            <a:ea typeface="+mn-ea"/>
                            <a:cs typeface="+mn-cs"/>
                          </a:rPr>
                          <m:t>0.5463</m:t>
                        </m:r>
                      </m:sup>
                    </m:sSup>
                  </m:oMath>
                </m:oMathPara>
              </a14:m>
              <a:endParaRPr lang="en-US" sz="1100" b="0" i="0" u="none" strike="noStrike">
                <a:solidFill>
                  <a:srgbClr val="000000"/>
                </a:solidFill>
                <a:latin typeface="Calibri"/>
              </a:endParaRPr>
            </a:p>
          </xdr:txBody>
        </xdr:sp>
      </mc:Choice>
      <mc:Fallback xmlns="">
        <xdr:sp macro="" textlink="">
          <xdr:nvSpPr>
            <xdr:cNvPr id="11" name="TextBox 10"/>
            <xdr:cNvSpPr txBox="1"/>
          </xdr:nvSpPr>
          <xdr:spPr>
            <a:xfrm>
              <a:off x="2000250" y="36804600"/>
              <a:ext cx="3209925" cy="304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lang="en-US" sz="1100" b="0" i="0" u="none" strike="noStrike">
                  <a:solidFill>
                    <a:srgbClr val="000000"/>
                  </a:solidFill>
                  <a:latin typeface="Cambria Math"/>
                </a:rPr>
                <a:t>𝑀𝐶𝑀𝑇</a:t>
              </a:r>
              <a:r>
                <a:rPr lang="en-US" sz="1100" b="0" i="0" u="none" strike="noStrike">
                  <a:solidFill>
                    <a:srgbClr val="000000"/>
                  </a:solidFill>
                  <a:latin typeface="Cambria Math" panose="02040503050406030204" pitchFamily="18" charset="0"/>
                </a:rPr>
                <a:t>=</a:t>
              </a:r>
              <a:r>
                <a:rPr lang="en-US" sz="1100" b="0" i="0">
                  <a:solidFill>
                    <a:schemeClr val="dk1"/>
                  </a:solidFill>
                  <a:effectLst/>
                  <a:latin typeface="+mn-lt"/>
                  <a:ea typeface="+mn-ea"/>
                  <a:cs typeface="+mn-cs"/>
                </a:rPr>
                <a:t>2.46+0.5483∗(𝑙𝑖𝑛𝑒 45</a:t>
              </a:r>
              <a:r>
                <a:rPr lang="en-US" sz="1100" b="0" i="0">
                  <a:solidFill>
                    <a:schemeClr val="dk1"/>
                  </a:solidFill>
                  <a:effectLst/>
                  <a:latin typeface="Cambria Math"/>
                  <a:ea typeface="+mn-ea"/>
                  <a:cs typeface="+mn-cs"/>
                </a:rPr>
                <a:t>+𝑙𝑖𝑛𝑒 3</a:t>
              </a:r>
              <a:r>
                <a:rPr lang="en-US" sz="1100" b="0" i="0">
                  <a:solidFill>
                    <a:schemeClr val="dk1"/>
                  </a:solidFill>
                  <a:effectLst/>
                  <a:latin typeface="+mn-lt"/>
                  <a:ea typeface="+mn-ea"/>
                  <a:cs typeface="+mn-cs"/>
                </a:rPr>
                <a:t>)</a:t>
              </a:r>
              <a:r>
                <a:rPr lang="en-US" sz="1100" b="0" i="0">
                  <a:solidFill>
                    <a:schemeClr val="dk1"/>
                  </a:solidFill>
                  <a:effectLst/>
                  <a:latin typeface="Cambria Math"/>
                  <a:ea typeface="+mn-ea"/>
                  <a:cs typeface="+mn-cs"/>
                </a:rPr>
                <a:t>^0.5463</a:t>
              </a:r>
              <a:endParaRPr lang="en-US" sz="1100" b="0" i="0" u="none" strike="noStrike">
                <a:solidFill>
                  <a:srgbClr val="000000"/>
                </a:solidFill>
                <a:latin typeface="Calibri"/>
              </a:endParaRPr>
            </a:p>
          </xdr:txBody>
        </xdr:sp>
      </mc:Fallback>
    </mc:AlternateContent>
    <xdr:clientData/>
  </xdr:oneCellAnchor>
  <xdr:oneCellAnchor>
    <xdr:from>
      <xdr:col>1</xdr:col>
      <xdr:colOff>1933575</xdr:colOff>
      <xdr:row>153</xdr:row>
      <xdr:rowOff>114300</xdr:rowOff>
    </xdr:from>
    <xdr:ext cx="3286125" cy="304800"/>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00000000-0008-0000-0B00-00000C000000}"/>
                </a:ext>
              </a:extLst>
            </xdr:cNvPr>
            <xdr:cNvSpPr txBox="1"/>
          </xdr:nvSpPr>
          <xdr:spPr>
            <a:xfrm>
              <a:off x="1933575" y="37509450"/>
              <a:ext cx="3286125" cy="304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14:m>
                <m:oMathPara xmlns:m="http://schemas.openxmlformats.org/officeDocument/2006/math">
                  <m:oMathParaPr>
                    <m:jc m:val="centerGroup"/>
                  </m:oMathParaPr>
                  <m:oMath xmlns:m="http://schemas.openxmlformats.org/officeDocument/2006/math">
                    <m:r>
                      <a:rPr lang="en-US" sz="1100" b="0" i="1" u="none" strike="noStrike">
                        <a:solidFill>
                          <a:srgbClr val="000000"/>
                        </a:solidFill>
                        <a:latin typeface="Cambria Math"/>
                      </a:rPr>
                      <m:t>𝑀𝐶𝑀𝑇</m:t>
                    </m:r>
                    <m:r>
                      <a:rPr lang="en-US" sz="1100" b="0" i="1" u="none" strike="noStrike">
                        <a:solidFill>
                          <a:srgbClr val="000000"/>
                        </a:solidFill>
                        <a:latin typeface="Cambria Math" panose="02040503050406030204" pitchFamily="18" charset="0"/>
                      </a:rPr>
                      <m:t>=</m:t>
                    </m:r>
                    <m:r>
                      <a:rPr lang="en-US" sz="1100" b="0" i="1">
                        <a:solidFill>
                          <a:schemeClr val="dk1"/>
                        </a:solidFill>
                        <a:effectLst/>
                        <a:latin typeface="Cambria Math"/>
                        <a:ea typeface="+mn-ea"/>
                        <a:cs typeface="+mn-cs"/>
                      </a:rPr>
                      <m:t>2.48+0.6026∗</m:t>
                    </m:r>
                    <m:sSup>
                      <m:sSupPr>
                        <m:ctrlPr>
                          <a:rPr lang="en-US" sz="1100" b="0" i="1">
                            <a:solidFill>
                              <a:schemeClr val="dk1"/>
                            </a:solidFill>
                            <a:effectLst/>
                            <a:latin typeface="Cambria Math" panose="02040503050406030204" pitchFamily="18" charset="0"/>
                            <a:ea typeface="+mn-ea"/>
                            <a:cs typeface="+mn-cs"/>
                          </a:rPr>
                        </m:ctrlPr>
                      </m:sSupPr>
                      <m:e>
                        <m:d>
                          <m:dPr>
                            <m:ctrlPr>
                              <a:rPr lang="en-US" sz="1100" b="0" i="1">
                                <a:solidFill>
                                  <a:schemeClr val="dk1"/>
                                </a:solidFill>
                                <a:effectLst/>
                                <a:latin typeface="Cambria Math" panose="02040503050406030204" pitchFamily="18" charset="0"/>
                                <a:ea typeface="+mn-ea"/>
                                <a:cs typeface="+mn-cs"/>
                              </a:rPr>
                            </m:ctrlPr>
                          </m:dPr>
                          <m:e>
                            <m:r>
                              <a:rPr lang="en-US" sz="1100" b="0" i="1">
                                <a:solidFill>
                                  <a:schemeClr val="dk1"/>
                                </a:solidFill>
                                <a:effectLst/>
                                <a:latin typeface="Cambria Math"/>
                                <a:ea typeface="+mn-ea"/>
                                <a:cs typeface="+mn-cs"/>
                              </a:rPr>
                              <m:t>𝑙𝑖𝑛𝑒</m:t>
                            </m:r>
                            <m:r>
                              <a:rPr lang="en-US" sz="1100" b="0" i="1">
                                <a:solidFill>
                                  <a:schemeClr val="dk1"/>
                                </a:solidFill>
                                <a:effectLst/>
                                <a:latin typeface="Cambria Math"/>
                                <a:ea typeface="+mn-ea"/>
                                <a:cs typeface="+mn-cs"/>
                              </a:rPr>
                              <m:t> 45+</m:t>
                            </m:r>
                            <m:r>
                              <a:rPr lang="en-US" sz="1100" b="0" i="1">
                                <a:solidFill>
                                  <a:schemeClr val="dk1"/>
                                </a:solidFill>
                                <a:effectLst/>
                                <a:latin typeface="Cambria Math"/>
                                <a:ea typeface="+mn-ea"/>
                                <a:cs typeface="+mn-cs"/>
                              </a:rPr>
                              <m:t>𝑙𝑖𝑛𝑒</m:t>
                            </m:r>
                            <m:r>
                              <a:rPr lang="en-US" sz="1100" b="0" i="1">
                                <a:solidFill>
                                  <a:schemeClr val="dk1"/>
                                </a:solidFill>
                                <a:effectLst/>
                                <a:latin typeface="Cambria Math"/>
                                <a:ea typeface="+mn-ea"/>
                                <a:cs typeface="+mn-cs"/>
                              </a:rPr>
                              <m:t> 3</m:t>
                            </m:r>
                          </m:e>
                        </m:d>
                      </m:e>
                      <m:sup>
                        <m:r>
                          <a:rPr lang="en-US" sz="1100" b="0" i="1">
                            <a:solidFill>
                              <a:schemeClr val="dk1"/>
                            </a:solidFill>
                            <a:effectLst/>
                            <a:latin typeface="Cambria Math"/>
                            <a:ea typeface="+mn-ea"/>
                            <a:cs typeface="+mn-cs"/>
                          </a:rPr>
                          <m:t>0.5474</m:t>
                        </m:r>
                      </m:sup>
                    </m:sSup>
                  </m:oMath>
                </m:oMathPara>
              </a14:m>
              <a:endParaRPr lang="en-US" sz="1100" b="0" i="0" u="none" strike="noStrike">
                <a:solidFill>
                  <a:srgbClr val="000000"/>
                </a:solidFill>
                <a:latin typeface="Calibri"/>
              </a:endParaRPr>
            </a:p>
          </xdr:txBody>
        </xdr:sp>
      </mc:Choice>
      <mc:Fallback xmlns="">
        <xdr:sp macro="" textlink="">
          <xdr:nvSpPr>
            <xdr:cNvPr id="12" name="TextBox 11"/>
            <xdr:cNvSpPr txBox="1"/>
          </xdr:nvSpPr>
          <xdr:spPr>
            <a:xfrm>
              <a:off x="1933575" y="37509450"/>
              <a:ext cx="3286125" cy="304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lang="en-US" sz="1100" b="0" i="0" u="none" strike="noStrike">
                  <a:solidFill>
                    <a:srgbClr val="000000"/>
                  </a:solidFill>
                  <a:latin typeface="Cambria Math"/>
                </a:rPr>
                <a:t>𝑀𝐶𝑀𝑇</a:t>
              </a:r>
              <a:r>
                <a:rPr lang="en-US" sz="1100" b="0" i="0" u="none" strike="noStrike">
                  <a:solidFill>
                    <a:srgbClr val="000000"/>
                  </a:solidFill>
                  <a:latin typeface="Cambria Math" panose="02040503050406030204" pitchFamily="18" charset="0"/>
                </a:rPr>
                <a:t>=</a:t>
              </a:r>
              <a:r>
                <a:rPr lang="en-US" sz="1100" b="0" i="0">
                  <a:solidFill>
                    <a:schemeClr val="dk1"/>
                  </a:solidFill>
                  <a:effectLst/>
                  <a:latin typeface="+mn-lt"/>
                  <a:ea typeface="+mn-ea"/>
                  <a:cs typeface="+mn-cs"/>
                </a:rPr>
                <a:t>2.4</a:t>
              </a:r>
              <a:r>
                <a:rPr lang="en-US" sz="1100" b="0" i="0">
                  <a:solidFill>
                    <a:schemeClr val="dk1"/>
                  </a:solidFill>
                  <a:effectLst/>
                  <a:latin typeface="Cambria Math"/>
                  <a:ea typeface="+mn-ea"/>
                  <a:cs typeface="+mn-cs"/>
                </a:rPr>
                <a:t>8</a:t>
              </a:r>
              <a:r>
                <a:rPr lang="en-US" sz="1100" b="0" i="0">
                  <a:solidFill>
                    <a:schemeClr val="dk1"/>
                  </a:solidFill>
                  <a:effectLst/>
                  <a:latin typeface="+mn-lt"/>
                  <a:ea typeface="+mn-ea"/>
                  <a:cs typeface="+mn-cs"/>
                </a:rPr>
                <a:t>+0.</a:t>
              </a:r>
              <a:r>
                <a:rPr lang="en-US" sz="1100" b="0" i="0">
                  <a:solidFill>
                    <a:schemeClr val="dk1"/>
                  </a:solidFill>
                  <a:effectLst/>
                  <a:latin typeface="Cambria Math"/>
                  <a:ea typeface="+mn-ea"/>
                  <a:cs typeface="+mn-cs"/>
                </a:rPr>
                <a:t>6026</a:t>
              </a:r>
              <a:r>
                <a:rPr lang="en-US" sz="1100" b="0" i="0">
                  <a:solidFill>
                    <a:schemeClr val="dk1"/>
                  </a:solidFill>
                  <a:effectLst/>
                  <a:latin typeface="+mn-lt"/>
                  <a:ea typeface="+mn-ea"/>
                  <a:cs typeface="+mn-cs"/>
                </a:rPr>
                <a:t>∗(𝑙𝑖𝑛𝑒 45</a:t>
              </a:r>
              <a:r>
                <a:rPr lang="en-US" sz="1100" b="0" i="0">
                  <a:solidFill>
                    <a:schemeClr val="dk1"/>
                  </a:solidFill>
                  <a:effectLst/>
                  <a:latin typeface="Cambria Math"/>
                  <a:ea typeface="+mn-ea"/>
                  <a:cs typeface="+mn-cs"/>
                </a:rPr>
                <a:t>+𝑙𝑖𝑛𝑒 3</a:t>
              </a:r>
              <a:r>
                <a:rPr lang="en-US" sz="1100" b="0" i="0">
                  <a:solidFill>
                    <a:schemeClr val="dk1"/>
                  </a:solidFill>
                  <a:effectLst/>
                  <a:latin typeface="+mn-lt"/>
                  <a:ea typeface="+mn-ea"/>
                  <a:cs typeface="+mn-cs"/>
                </a:rPr>
                <a:t>)</a:t>
              </a:r>
              <a:r>
                <a:rPr lang="en-US" sz="1100" b="0" i="0">
                  <a:solidFill>
                    <a:schemeClr val="dk1"/>
                  </a:solidFill>
                  <a:effectLst/>
                  <a:latin typeface="Cambria Math"/>
                  <a:ea typeface="+mn-ea"/>
                  <a:cs typeface="+mn-cs"/>
                </a:rPr>
                <a:t>^0.5474</a:t>
              </a:r>
              <a:endParaRPr lang="en-US" sz="1100" b="0" i="0" u="none" strike="noStrike">
                <a:solidFill>
                  <a:srgbClr val="000000"/>
                </a:solidFill>
                <a:latin typeface="Calibri"/>
              </a:endParaRPr>
            </a:p>
          </xdr:txBody>
        </xdr:sp>
      </mc:Fallback>
    </mc:AlternateContent>
    <xdr:clientData/>
  </xdr:oneCellAnchor>
  <xdr:oneCellAnchor>
    <xdr:from>
      <xdr:col>1</xdr:col>
      <xdr:colOff>1762125</xdr:colOff>
      <xdr:row>157</xdr:row>
      <xdr:rowOff>133350</xdr:rowOff>
    </xdr:from>
    <xdr:ext cx="3533775" cy="304800"/>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00000000-0008-0000-0B00-00000D000000}"/>
                </a:ext>
              </a:extLst>
            </xdr:cNvPr>
            <xdr:cNvSpPr txBox="1"/>
          </xdr:nvSpPr>
          <xdr:spPr>
            <a:xfrm>
              <a:off x="1762125" y="38614350"/>
              <a:ext cx="3533775" cy="304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14:m>
                <m:oMathPara xmlns:m="http://schemas.openxmlformats.org/officeDocument/2006/math">
                  <m:oMathParaPr>
                    <m:jc m:val="centerGroup"/>
                  </m:oMathParaPr>
                  <m:oMath xmlns:m="http://schemas.openxmlformats.org/officeDocument/2006/math">
                    <m:r>
                      <a:rPr lang="en-US" sz="1100" b="0" i="1" u="none" strike="noStrike">
                        <a:solidFill>
                          <a:srgbClr val="000000"/>
                        </a:solidFill>
                        <a:latin typeface="Cambria Math"/>
                      </a:rPr>
                      <m:t>𝑀𝐶𝑀𝑇</m:t>
                    </m:r>
                    <m:r>
                      <a:rPr lang="en-US" sz="1100" b="0" i="1" u="none" strike="noStrike">
                        <a:solidFill>
                          <a:srgbClr val="000000"/>
                        </a:solidFill>
                        <a:latin typeface="Cambria Math" panose="02040503050406030204" pitchFamily="18" charset="0"/>
                      </a:rPr>
                      <m:t>=</m:t>
                    </m:r>
                    <m:r>
                      <a:rPr lang="en-US" sz="1100" b="0" i="1">
                        <a:solidFill>
                          <a:schemeClr val="dk1"/>
                        </a:solidFill>
                        <a:effectLst/>
                        <a:latin typeface="Cambria Math"/>
                        <a:ea typeface="+mn-ea"/>
                        <a:cs typeface="+mn-cs"/>
                      </a:rPr>
                      <m:t>2.72+0.5333∗</m:t>
                    </m:r>
                    <m:sSup>
                      <m:sSupPr>
                        <m:ctrlPr>
                          <a:rPr lang="en-US" sz="1100" b="0" i="1">
                            <a:solidFill>
                              <a:schemeClr val="dk1"/>
                            </a:solidFill>
                            <a:effectLst/>
                            <a:latin typeface="Cambria Math" panose="02040503050406030204" pitchFamily="18" charset="0"/>
                            <a:ea typeface="+mn-ea"/>
                            <a:cs typeface="+mn-cs"/>
                          </a:rPr>
                        </m:ctrlPr>
                      </m:sSupPr>
                      <m:e>
                        <m:d>
                          <m:dPr>
                            <m:ctrlPr>
                              <a:rPr lang="en-US" sz="1100" b="0" i="1">
                                <a:solidFill>
                                  <a:schemeClr val="dk1"/>
                                </a:solidFill>
                                <a:effectLst/>
                                <a:latin typeface="Cambria Math" panose="02040503050406030204" pitchFamily="18" charset="0"/>
                                <a:ea typeface="+mn-ea"/>
                                <a:cs typeface="+mn-cs"/>
                              </a:rPr>
                            </m:ctrlPr>
                          </m:dPr>
                          <m:e>
                            <m:r>
                              <a:rPr lang="en-US" sz="1100" b="0" i="1">
                                <a:solidFill>
                                  <a:schemeClr val="dk1"/>
                                </a:solidFill>
                                <a:effectLst/>
                                <a:latin typeface="Cambria Math"/>
                                <a:ea typeface="+mn-ea"/>
                                <a:cs typeface="+mn-cs"/>
                              </a:rPr>
                              <m:t>𝑙𝑖𝑛𝑒</m:t>
                            </m:r>
                            <m:r>
                              <a:rPr lang="en-US" sz="1100" b="0" i="1">
                                <a:solidFill>
                                  <a:schemeClr val="dk1"/>
                                </a:solidFill>
                                <a:effectLst/>
                                <a:latin typeface="Cambria Math"/>
                                <a:ea typeface="+mn-ea"/>
                                <a:cs typeface="+mn-cs"/>
                              </a:rPr>
                              <m:t> 45+</m:t>
                            </m:r>
                            <m:r>
                              <a:rPr lang="en-US" sz="1100" b="0" i="1">
                                <a:solidFill>
                                  <a:schemeClr val="dk1"/>
                                </a:solidFill>
                                <a:effectLst/>
                                <a:latin typeface="Cambria Math"/>
                                <a:ea typeface="+mn-ea"/>
                                <a:cs typeface="+mn-cs"/>
                              </a:rPr>
                              <m:t>𝑙𝑖𝑛𝑒</m:t>
                            </m:r>
                            <m:r>
                              <a:rPr lang="en-US" sz="1100" b="0" i="1">
                                <a:solidFill>
                                  <a:schemeClr val="dk1"/>
                                </a:solidFill>
                                <a:effectLst/>
                                <a:latin typeface="Cambria Math"/>
                                <a:ea typeface="+mn-ea"/>
                                <a:cs typeface="+mn-cs"/>
                              </a:rPr>
                              <m:t> 3</m:t>
                            </m:r>
                          </m:e>
                        </m:d>
                      </m:e>
                      <m:sup>
                        <m:r>
                          <a:rPr lang="en-US" sz="1100" b="0" i="1">
                            <a:solidFill>
                              <a:schemeClr val="dk1"/>
                            </a:solidFill>
                            <a:effectLst/>
                            <a:latin typeface="Cambria Math"/>
                            <a:ea typeface="+mn-ea"/>
                            <a:cs typeface="+mn-cs"/>
                          </a:rPr>
                          <m:t>0.5348</m:t>
                        </m:r>
                      </m:sup>
                    </m:sSup>
                  </m:oMath>
                </m:oMathPara>
              </a14:m>
              <a:endParaRPr lang="en-US" sz="1100" b="0" i="0" u="none" strike="noStrike">
                <a:solidFill>
                  <a:srgbClr val="000000"/>
                </a:solidFill>
                <a:latin typeface="Calibri"/>
              </a:endParaRPr>
            </a:p>
          </xdr:txBody>
        </xdr:sp>
      </mc:Choice>
      <mc:Fallback xmlns="">
        <xdr:sp macro="" textlink="">
          <xdr:nvSpPr>
            <xdr:cNvPr id="13" name="TextBox 12"/>
            <xdr:cNvSpPr txBox="1"/>
          </xdr:nvSpPr>
          <xdr:spPr>
            <a:xfrm>
              <a:off x="1762125" y="38614350"/>
              <a:ext cx="3533775" cy="304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lang="en-US" sz="1100" b="0" i="0" u="none" strike="noStrike">
                  <a:solidFill>
                    <a:srgbClr val="000000"/>
                  </a:solidFill>
                  <a:latin typeface="Cambria Math"/>
                </a:rPr>
                <a:t>𝑀𝐶𝑀𝑇</a:t>
              </a:r>
              <a:r>
                <a:rPr lang="en-US" sz="1100" b="0" i="0" u="none" strike="noStrike">
                  <a:solidFill>
                    <a:srgbClr val="000000"/>
                  </a:solidFill>
                  <a:latin typeface="Cambria Math" panose="02040503050406030204" pitchFamily="18" charset="0"/>
                </a:rPr>
                <a:t>=</a:t>
              </a:r>
              <a:r>
                <a:rPr lang="en-US" sz="1100" b="0" i="0">
                  <a:solidFill>
                    <a:schemeClr val="dk1"/>
                  </a:solidFill>
                  <a:effectLst/>
                  <a:latin typeface="+mn-lt"/>
                  <a:ea typeface="+mn-ea"/>
                  <a:cs typeface="+mn-cs"/>
                </a:rPr>
                <a:t>2.</a:t>
              </a:r>
              <a:r>
                <a:rPr lang="en-US" sz="1100" b="0" i="0">
                  <a:solidFill>
                    <a:schemeClr val="dk1"/>
                  </a:solidFill>
                  <a:effectLst/>
                  <a:latin typeface="Cambria Math"/>
                  <a:ea typeface="+mn-ea"/>
                  <a:cs typeface="+mn-cs"/>
                </a:rPr>
                <a:t>72</a:t>
              </a:r>
              <a:r>
                <a:rPr lang="en-US" sz="1100" b="0" i="0">
                  <a:solidFill>
                    <a:schemeClr val="dk1"/>
                  </a:solidFill>
                  <a:effectLst/>
                  <a:latin typeface="+mn-lt"/>
                  <a:ea typeface="+mn-ea"/>
                  <a:cs typeface="+mn-cs"/>
                </a:rPr>
                <a:t>+0.</a:t>
              </a:r>
              <a:r>
                <a:rPr lang="en-US" sz="1100" b="0" i="0">
                  <a:solidFill>
                    <a:schemeClr val="dk1"/>
                  </a:solidFill>
                  <a:effectLst/>
                  <a:latin typeface="Cambria Math"/>
                  <a:ea typeface="+mn-ea"/>
                  <a:cs typeface="+mn-cs"/>
                </a:rPr>
                <a:t>5333</a:t>
              </a:r>
              <a:r>
                <a:rPr lang="en-US" sz="1100" b="0" i="0">
                  <a:solidFill>
                    <a:schemeClr val="dk1"/>
                  </a:solidFill>
                  <a:effectLst/>
                  <a:latin typeface="+mn-lt"/>
                  <a:ea typeface="+mn-ea"/>
                  <a:cs typeface="+mn-cs"/>
                </a:rPr>
                <a:t>∗(𝑙𝑖𝑛𝑒 45</a:t>
              </a:r>
              <a:r>
                <a:rPr lang="en-US" sz="1100" b="0" i="0">
                  <a:solidFill>
                    <a:schemeClr val="dk1"/>
                  </a:solidFill>
                  <a:effectLst/>
                  <a:latin typeface="Cambria Math"/>
                  <a:ea typeface="+mn-ea"/>
                  <a:cs typeface="+mn-cs"/>
                </a:rPr>
                <a:t>+𝑙𝑖𝑛𝑒 3</a:t>
              </a:r>
              <a:r>
                <a:rPr lang="en-US" sz="1100" b="0" i="0">
                  <a:solidFill>
                    <a:schemeClr val="dk1"/>
                  </a:solidFill>
                  <a:effectLst/>
                  <a:latin typeface="+mn-lt"/>
                  <a:ea typeface="+mn-ea"/>
                  <a:cs typeface="+mn-cs"/>
                </a:rPr>
                <a:t>)</a:t>
              </a:r>
              <a:r>
                <a:rPr lang="en-US" sz="1100" b="0" i="0">
                  <a:solidFill>
                    <a:schemeClr val="dk1"/>
                  </a:solidFill>
                  <a:effectLst/>
                  <a:latin typeface="Cambria Math"/>
                  <a:ea typeface="+mn-ea"/>
                  <a:cs typeface="+mn-cs"/>
                </a:rPr>
                <a:t>^0.5348</a:t>
              </a:r>
              <a:endParaRPr lang="en-US" sz="1100" b="0" i="0" u="none" strike="noStrike">
                <a:solidFill>
                  <a:srgbClr val="000000"/>
                </a:solidFill>
                <a:latin typeface="Calibri"/>
              </a:endParaRPr>
            </a:p>
          </xdr:txBody>
        </xdr:sp>
      </mc:Fallback>
    </mc:AlternateContent>
    <xdr:clientData/>
  </xdr:oneCellAnchor>
  <xdr:oneCellAnchor>
    <xdr:from>
      <xdr:col>1</xdr:col>
      <xdr:colOff>1905000</xdr:colOff>
      <xdr:row>161</xdr:row>
      <xdr:rowOff>123825</xdr:rowOff>
    </xdr:from>
    <xdr:ext cx="3133725" cy="304800"/>
    <mc:AlternateContent xmlns:mc="http://schemas.openxmlformats.org/markup-compatibility/2006" xmlns:a14="http://schemas.microsoft.com/office/drawing/2010/main">
      <mc:Choice Requires="a14">
        <xdr:sp macro="" textlink="">
          <xdr:nvSpPr>
            <xdr:cNvPr id="14" name="TextBox 13">
              <a:extLst>
                <a:ext uri="{FF2B5EF4-FFF2-40B4-BE49-F238E27FC236}">
                  <a16:creationId xmlns:a16="http://schemas.microsoft.com/office/drawing/2014/main" id="{00000000-0008-0000-0B00-00000E000000}"/>
                </a:ext>
              </a:extLst>
            </xdr:cNvPr>
            <xdr:cNvSpPr txBox="1"/>
          </xdr:nvSpPr>
          <xdr:spPr>
            <a:xfrm>
              <a:off x="1905000" y="39690675"/>
              <a:ext cx="3133725" cy="304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14:m>
                <m:oMathPara xmlns:m="http://schemas.openxmlformats.org/officeDocument/2006/math">
                  <m:oMathParaPr>
                    <m:jc m:val="centerGroup"/>
                  </m:oMathParaPr>
                  <m:oMath xmlns:m="http://schemas.openxmlformats.org/officeDocument/2006/math">
                    <m:r>
                      <a:rPr lang="en-US" sz="1100" b="0" i="1" u="none" strike="noStrike">
                        <a:solidFill>
                          <a:srgbClr val="000000"/>
                        </a:solidFill>
                        <a:latin typeface="Cambria Math"/>
                      </a:rPr>
                      <m:t>𝑀𝐶𝑀𝑇</m:t>
                    </m:r>
                    <m:r>
                      <a:rPr lang="en-US" sz="1100" b="0" i="1" u="none" strike="noStrike">
                        <a:solidFill>
                          <a:srgbClr val="000000"/>
                        </a:solidFill>
                        <a:latin typeface="Cambria Math" panose="02040503050406030204" pitchFamily="18" charset="0"/>
                      </a:rPr>
                      <m:t>=</m:t>
                    </m:r>
                    <m:r>
                      <a:rPr lang="en-US" sz="1100" b="0" i="1">
                        <a:solidFill>
                          <a:schemeClr val="dk1"/>
                        </a:solidFill>
                        <a:effectLst/>
                        <a:latin typeface="Cambria Math"/>
                        <a:ea typeface="+mn-ea"/>
                        <a:cs typeface="+mn-cs"/>
                      </a:rPr>
                      <m:t>3.99+1.2559∗</m:t>
                    </m:r>
                    <m:sSup>
                      <m:sSupPr>
                        <m:ctrlPr>
                          <a:rPr lang="en-US" sz="1100" b="0" i="1">
                            <a:solidFill>
                              <a:schemeClr val="dk1"/>
                            </a:solidFill>
                            <a:effectLst/>
                            <a:latin typeface="Cambria Math" panose="02040503050406030204" pitchFamily="18" charset="0"/>
                            <a:ea typeface="+mn-ea"/>
                            <a:cs typeface="+mn-cs"/>
                          </a:rPr>
                        </m:ctrlPr>
                      </m:sSupPr>
                      <m:e>
                        <m:d>
                          <m:dPr>
                            <m:ctrlPr>
                              <a:rPr lang="en-US" sz="1100" b="0" i="1">
                                <a:solidFill>
                                  <a:schemeClr val="dk1"/>
                                </a:solidFill>
                                <a:effectLst/>
                                <a:latin typeface="Cambria Math" panose="02040503050406030204" pitchFamily="18" charset="0"/>
                                <a:ea typeface="+mn-ea"/>
                                <a:cs typeface="+mn-cs"/>
                              </a:rPr>
                            </m:ctrlPr>
                          </m:dPr>
                          <m:e>
                            <m:r>
                              <a:rPr lang="en-US" sz="1100" b="0" i="1">
                                <a:solidFill>
                                  <a:schemeClr val="dk1"/>
                                </a:solidFill>
                                <a:effectLst/>
                                <a:latin typeface="Cambria Math"/>
                                <a:ea typeface="+mn-ea"/>
                                <a:cs typeface="+mn-cs"/>
                              </a:rPr>
                              <m:t>𝑙𝑖𝑛𝑒</m:t>
                            </m:r>
                            <m:r>
                              <a:rPr lang="en-US" sz="1100" b="0" i="1">
                                <a:solidFill>
                                  <a:schemeClr val="dk1"/>
                                </a:solidFill>
                                <a:effectLst/>
                                <a:latin typeface="Cambria Math"/>
                                <a:ea typeface="+mn-ea"/>
                                <a:cs typeface="+mn-cs"/>
                              </a:rPr>
                              <m:t> 45+</m:t>
                            </m:r>
                            <m:r>
                              <a:rPr lang="en-US" sz="1100" b="0" i="1">
                                <a:solidFill>
                                  <a:schemeClr val="dk1"/>
                                </a:solidFill>
                                <a:effectLst/>
                                <a:latin typeface="Cambria Math"/>
                                <a:ea typeface="+mn-ea"/>
                                <a:cs typeface="+mn-cs"/>
                              </a:rPr>
                              <m:t>𝑙𝑖𝑛𝑒</m:t>
                            </m:r>
                            <m:r>
                              <a:rPr lang="en-US" sz="1100" b="0" i="1">
                                <a:solidFill>
                                  <a:schemeClr val="dk1"/>
                                </a:solidFill>
                                <a:effectLst/>
                                <a:latin typeface="Cambria Math"/>
                                <a:ea typeface="+mn-ea"/>
                                <a:cs typeface="+mn-cs"/>
                              </a:rPr>
                              <m:t> 3</m:t>
                            </m:r>
                          </m:e>
                        </m:d>
                      </m:e>
                      <m:sup>
                        <m:r>
                          <a:rPr lang="en-US" sz="1100" b="0" i="1">
                            <a:solidFill>
                              <a:schemeClr val="dk1"/>
                            </a:solidFill>
                            <a:effectLst/>
                            <a:latin typeface="Cambria Math"/>
                            <a:ea typeface="+mn-ea"/>
                            <a:cs typeface="+mn-cs"/>
                          </a:rPr>
                          <m:t>0.5188</m:t>
                        </m:r>
                      </m:sup>
                    </m:sSup>
                  </m:oMath>
                </m:oMathPara>
              </a14:m>
              <a:endParaRPr lang="en-US" sz="1100" b="0" i="0" u="none" strike="noStrike">
                <a:solidFill>
                  <a:srgbClr val="000000"/>
                </a:solidFill>
                <a:latin typeface="Calibri"/>
              </a:endParaRPr>
            </a:p>
          </xdr:txBody>
        </xdr:sp>
      </mc:Choice>
      <mc:Fallback xmlns="">
        <xdr:sp macro="" textlink="">
          <xdr:nvSpPr>
            <xdr:cNvPr id="14" name="TextBox 13"/>
            <xdr:cNvSpPr txBox="1"/>
          </xdr:nvSpPr>
          <xdr:spPr>
            <a:xfrm>
              <a:off x="1905000" y="39690675"/>
              <a:ext cx="3133725" cy="304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lang="en-US" sz="1100" b="0" i="0" u="none" strike="noStrike">
                  <a:solidFill>
                    <a:srgbClr val="000000"/>
                  </a:solidFill>
                  <a:latin typeface="Cambria Math"/>
                </a:rPr>
                <a:t>𝑀𝐶𝑀𝑇</a:t>
              </a:r>
              <a:r>
                <a:rPr lang="en-US" sz="1100" b="0" i="0" u="none" strike="noStrike">
                  <a:solidFill>
                    <a:srgbClr val="000000"/>
                  </a:solidFill>
                  <a:latin typeface="Cambria Math" panose="02040503050406030204" pitchFamily="18" charset="0"/>
                </a:rPr>
                <a:t>=</a:t>
              </a:r>
              <a:r>
                <a:rPr lang="en-US" sz="1100" b="0" i="0">
                  <a:solidFill>
                    <a:schemeClr val="dk1"/>
                  </a:solidFill>
                  <a:effectLst/>
                  <a:latin typeface="Cambria Math"/>
                  <a:ea typeface="+mn-ea"/>
                  <a:cs typeface="+mn-cs"/>
                </a:rPr>
                <a:t>3.99</a:t>
              </a:r>
              <a:r>
                <a:rPr lang="en-US" sz="1100" b="0" i="0">
                  <a:solidFill>
                    <a:schemeClr val="dk1"/>
                  </a:solidFill>
                  <a:effectLst/>
                  <a:latin typeface="+mn-lt"/>
                  <a:ea typeface="+mn-ea"/>
                  <a:cs typeface="+mn-cs"/>
                </a:rPr>
                <a:t>+</a:t>
              </a:r>
              <a:r>
                <a:rPr lang="en-US" sz="1100" b="0" i="0">
                  <a:solidFill>
                    <a:schemeClr val="dk1"/>
                  </a:solidFill>
                  <a:effectLst/>
                  <a:latin typeface="Cambria Math"/>
                  <a:ea typeface="+mn-ea"/>
                  <a:cs typeface="+mn-cs"/>
                </a:rPr>
                <a:t>1.2559</a:t>
              </a:r>
              <a:r>
                <a:rPr lang="en-US" sz="1100" b="0" i="0">
                  <a:solidFill>
                    <a:schemeClr val="dk1"/>
                  </a:solidFill>
                  <a:effectLst/>
                  <a:latin typeface="+mn-lt"/>
                  <a:ea typeface="+mn-ea"/>
                  <a:cs typeface="+mn-cs"/>
                </a:rPr>
                <a:t>∗(𝑙𝑖𝑛𝑒 45</a:t>
              </a:r>
              <a:r>
                <a:rPr lang="en-US" sz="1100" b="0" i="0">
                  <a:solidFill>
                    <a:schemeClr val="dk1"/>
                  </a:solidFill>
                  <a:effectLst/>
                  <a:latin typeface="Cambria Math"/>
                  <a:ea typeface="+mn-ea"/>
                  <a:cs typeface="+mn-cs"/>
                </a:rPr>
                <a:t>+𝑙𝑖𝑛𝑒 3</a:t>
              </a:r>
              <a:r>
                <a:rPr lang="en-US" sz="1100" b="0" i="0">
                  <a:solidFill>
                    <a:schemeClr val="dk1"/>
                  </a:solidFill>
                  <a:effectLst/>
                  <a:latin typeface="+mn-lt"/>
                  <a:ea typeface="+mn-ea"/>
                  <a:cs typeface="+mn-cs"/>
                </a:rPr>
                <a:t>)</a:t>
              </a:r>
              <a:r>
                <a:rPr lang="en-US" sz="1100" b="0" i="0">
                  <a:solidFill>
                    <a:schemeClr val="dk1"/>
                  </a:solidFill>
                  <a:effectLst/>
                  <a:latin typeface="Cambria Math"/>
                  <a:ea typeface="+mn-ea"/>
                  <a:cs typeface="+mn-cs"/>
                </a:rPr>
                <a:t>^0.5188</a:t>
              </a:r>
              <a:endParaRPr lang="en-US" sz="1100" b="0" i="0" u="none" strike="noStrike">
                <a:solidFill>
                  <a:srgbClr val="000000"/>
                </a:solidFill>
                <a:latin typeface="Calibri"/>
              </a:endParaRPr>
            </a:p>
          </xdr:txBody>
        </xdr:sp>
      </mc:Fallback>
    </mc:AlternateContent>
    <xdr:clientData/>
  </xdr:oneCellAnchor>
  <xdr:oneCellAnchor>
    <xdr:from>
      <xdr:col>1</xdr:col>
      <xdr:colOff>1703916</xdr:colOff>
      <xdr:row>181</xdr:row>
      <xdr:rowOff>85725</xdr:rowOff>
    </xdr:from>
    <xdr:ext cx="3793787" cy="3653367"/>
    <xdr:pic>
      <xdr:nvPicPr>
        <xdr:cNvPr id="15" name="Picture 14">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1"/>
        <a:stretch>
          <a:fillRect/>
        </a:stretch>
      </xdr:blipFill>
      <xdr:spPr>
        <a:xfrm>
          <a:off x="2360083" y="56420808"/>
          <a:ext cx="3793787" cy="3653367"/>
        </a:xfrm>
        <a:prstGeom prst="rect">
          <a:avLst/>
        </a:prstGeom>
      </xdr:spPr>
    </xdr:pic>
    <xdr:clientData/>
  </xdr:oneCellAnchor>
  <xdr:oneCellAnchor>
    <xdr:from>
      <xdr:col>1</xdr:col>
      <xdr:colOff>1238250</xdr:colOff>
      <xdr:row>192</xdr:row>
      <xdr:rowOff>161925</xdr:rowOff>
    </xdr:from>
    <xdr:ext cx="5542857" cy="3342857"/>
    <xdr:pic>
      <xdr:nvPicPr>
        <xdr:cNvPr id="16" name="Picture 15">
          <a:extLst>
            <a:ext uri="{FF2B5EF4-FFF2-40B4-BE49-F238E27FC236}">
              <a16:creationId xmlns:a16="http://schemas.microsoft.com/office/drawing/2014/main" id="{00000000-0008-0000-0B00-000010000000}"/>
            </a:ext>
          </a:extLst>
        </xdr:cNvPr>
        <xdr:cNvPicPr>
          <a:picLocks noChangeAspect="1"/>
        </xdr:cNvPicPr>
      </xdr:nvPicPr>
      <xdr:blipFill>
        <a:blip xmlns:r="http://schemas.openxmlformats.org/officeDocument/2006/relationships" r:embed="rId2"/>
        <a:stretch>
          <a:fillRect/>
        </a:stretch>
      </xdr:blipFill>
      <xdr:spPr>
        <a:xfrm>
          <a:off x="1238250" y="11096625"/>
          <a:ext cx="5542857" cy="3342857"/>
        </a:xfrm>
        <a:prstGeom prst="rect">
          <a:avLst/>
        </a:prstGeom>
      </xdr:spPr>
    </xdr:pic>
    <xdr:clientData/>
  </xdr:oneCellAnchor>
  <xdr:twoCellAnchor editAs="oneCell">
    <xdr:from>
      <xdr:col>1</xdr:col>
      <xdr:colOff>161925</xdr:colOff>
      <xdr:row>208</xdr:row>
      <xdr:rowOff>76200</xdr:rowOff>
    </xdr:from>
    <xdr:to>
      <xdr:col>1</xdr:col>
      <xdr:colOff>2600325</xdr:colOff>
      <xdr:row>208</xdr:row>
      <xdr:rowOff>2562226</xdr:rowOff>
    </xdr:to>
    <xdr:pic>
      <xdr:nvPicPr>
        <xdr:cNvPr id="18" name="Picture 17">
          <a:extLst>
            <a:ext uri="{FF2B5EF4-FFF2-40B4-BE49-F238E27FC236}">
              <a16:creationId xmlns:a16="http://schemas.microsoft.com/office/drawing/2014/main" id="{00000000-0008-0000-0B00-000012000000}"/>
            </a:ext>
          </a:extLst>
        </xdr:cNvPr>
        <xdr:cNvPicPr>
          <a:picLocks noChangeAspect="1"/>
        </xdr:cNvPicPr>
      </xdr:nvPicPr>
      <xdr:blipFill rotWithShape="1">
        <a:blip xmlns:r="http://schemas.openxmlformats.org/officeDocument/2006/relationships" r:embed="rId3"/>
        <a:srcRect l="15405" t="3108" r="17755" b="44493"/>
        <a:stretch/>
      </xdr:blipFill>
      <xdr:spPr>
        <a:xfrm>
          <a:off x="819150" y="72323325"/>
          <a:ext cx="2438400" cy="2486026"/>
        </a:xfrm>
        <a:prstGeom prst="rect">
          <a:avLst/>
        </a:prstGeom>
      </xdr:spPr>
    </xdr:pic>
    <xdr:clientData/>
  </xdr:twoCellAnchor>
  <xdr:twoCellAnchor editAs="oneCell">
    <xdr:from>
      <xdr:col>1</xdr:col>
      <xdr:colOff>2914650</xdr:colOff>
      <xdr:row>208</xdr:row>
      <xdr:rowOff>47625</xdr:rowOff>
    </xdr:from>
    <xdr:to>
      <xdr:col>2</xdr:col>
      <xdr:colOff>567576</xdr:colOff>
      <xdr:row>208</xdr:row>
      <xdr:rowOff>2568115</xdr:rowOff>
    </xdr:to>
    <xdr:pic>
      <xdr:nvPicPr>
        <xdr:cNvPr id="31" name="Picture 30">
          <a:extLst>
            <a:ext uri="{FF2B5EF4-FFF2-40B4-BE49-F238E27FC236}">
              <a16:creationId xmlns:a16="http://schemas.microsoft.com/office/drawing/2014/main" id="{00000000-0008-0000-0B00-00001F000000}"/>
            </a:ext>
          </a:extLst>
        </xdr:cNvPr>
        <xdr:cNvPicPr>
          <a:picLocks noChangeAspect="1"/>
        </xdr:cNvPicPr>
      </xdr:nvPicPr>
      <xdr:blipFill rotWithShape="1">
        <a:blip xmlns:r="http://schemas.openxmlformats.org/officeDocument/2006/relationships" r:embed="rId3"/>
        <a:srcRect t="56110"/>
        <a:stretch/>
      </xdr:blipFill>
      <xdr:spPr>
        <a:xfrm>
          <a:off x="3571875" y="72294750"/>
          <a:ext cx="4415676" cy="2520490"/>
        </a:xfrm>
        <a:prstGeom prst="rect">
          <a:avLst/>
        </a:prstGeom>
      </xdr:spPr>
    </xdr:pic>
    <xdr:clientData/>
  </xdr:twoCellAnchor>
  <xdr:oneCellAnchor>
    <xdr:from>
      <xdr:col>1</xdr:col>
      <xdr:colOff>2067594</xdr:colOff>
      <xdr:row>244</xdr:row>
      <xdr:rowOff>51089</xdr:rowOff>
    </xdr:from>
    <xdr:ext cx="3793787" cy="3653367"/>
    <xdr:pic>
      <xdr:nvPicPr>
        <xdr:cNvPr id="170" name="Picture 169">
          <a:extLst>
            <a:ext uri="{FF2B5EF4-FFF2-40B4-BE49-F238E27FC236}">
              <a16:creationId xmlns:a16="http://schemas.microsoft.com/office/drawing/2014/main" id="{00000000-0008-0000-0B00-0000AA000000}"/>
            </a:ext>
          </a:extLst>
        </xdr:cNvPr>
        <xdr:cNvPicPr>
          <a:picLocks noChangeAspect="1"/>
        </xdr:cNvPicPr>
      </xdr:nvPicPr>
      <xdr:blipFill>
        <a:blip xmlns:r="http://schemas.openxmlformats.org/officeDocument/2006/relationships" r:embed="rId1"/>
        <a:stretch>
          <a:fillRect/>
        </a:stretch>
      </xdr:blipFill>
      <xdr:spPr>
        <a:xfrm>
          <a:off x="2777639" y="90209544"/>
          <a:ext cx="3793787" cy="3653367"/>
        </a:xfrm>
        <a:prstGeom prst="rect">
          <a:avLst/>
        </a:prstGeom>
      </xdr:spPr>
    </xdr:pic>
    <xdr:clientData/>
  </xdr:oneCellAnchor>
  <xdr:oneCellAnchor>
    <xdr:from>
      <xdr:col>1</xdr:col>
      <xdr:colOff>1238250</xdr:colOff>
      <xdr:row>254</xdr:row>
      <xdr:rowOff>161925</xdr:rowOff>
    </xdr:from>
    <xdr:ext cx="6029691" cy="3342857"/>
    <xdr:pic>
      <xdr:nvPicPr>
        <xdr:cNvPr id="171" name="Picture 170">
          <a:extLst>
            <a:ext uri="{FF2B5EF4-FFF2-40B4-BE49-F238E27FC236}">
              <a16:creationId xmlns:a16="http://schemas.microsoft.com/office/drawing/2014/main" id="{00000000-0008-0000-0B00-0000AB000000}"/>
            </a:ext>
          </a:extLst>
        </xdr:cNvPr>
        <xdr:cNvPicPr>
          <a:picLocks noChangeAspect="1"/>
        </xdr:cNvPicPr>
      </xdr:nvPicPr>
      <xdr:blipFill>
        <a:blip xmlns:r="http://schemas.openxmlformats.org/officeDocument/2006/relationships" r:embed="rId2"/>
        <a:stretch>
          <a:fillRect/>
        </a:stretch>
      </xdr:blipFill>
      <xdr:spPr>
        <a:xfrm>
          <a:off x="1895475" y="42614850"/>
          <a:ext cx="6029691" cy="3342857"/>
        </a:xfrm>
        <a:prstGeom prst="rect">
          <a:avLst/>
        </a:prstGeom>
      </xdr:spPr>
    </xdr:pic>
    <xdr:clientData/>
  </xdr:oneCellAnchor>
  <xdr:oneCellAnchor>
    <xdr:from>
      <xdr:col>1</xdr:col>
      <xdr:colOff>2732099</xdr:colOff>
      <xdr:row>256</xdr:row>
      <xdr:rowOff>71437</xdr:rowOff>
    </xdr:from>
    <xdr:ext cx="1887526" cy="490538"/>
    <mc:AlternateContent xmlns:mc="http://schemas.openxmlformats.org/markup-compatibility/2006" xmlns:a14="http://schemas.microsoft.com/office/drawing/2010/main">
      <mc:Choice Requires="a14">
        <xdr:sp macro="" textlink="">
          <xdr:nvSpPr>
            <xdr:cNvPr id="172" name="TextBox 171">
              <a:extLst>
                <a:ext uri="{FF2B5EF4-FFF2-40B4-BE49-F238E27FC236}">
                  <a16:creationId xmlns:a16="http://schemas.microsoft.com/office/drawing/2014/main" id="{00000000-0008-0000-0B00-0000AC000000}"/>
                </a:ext>
              </a:extLst>
            </xdr:cNvPr>
            <xdr:cNvSpPr txBox="1"/>
          </xdr:nvSpPr>
          <xdr:spPr>
            <a:xfrm>
              <a:off x="3389324" y="46715362"/>
              <a:ext cx="1887526" cy="4905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ctr"/>
              <a14:m>
                <m:oMathPara xmlns:m="http://schemas.openxmlformats.org/officeDocument/2006/math">
                  <m:oMathParaPr>
                    <m:jc m:val="centerGroup"/>
                  </m:oMathParaPr>
                  <m:oMath xmlns:m="http://schemas.openxmlformats.org/officeDocument/2006/math">
                    <m:r>
                      <a:rPr lang="en-US" sz="1400" b="0" i="1" u="none" strike="noStrike">
                        <a:solidFill>
                          <a:srgbClr val="000000"/>
                        </a:solidFill>
                        <a:latin typeface="Cambria Math" panose="02040503050406030204" pitchFamily="18" charset="0"/>
                      </a:rPr>
                      <m:t>𝑇</m:t>
                    </m:r>
                    <m:r>
                      <a:rPr lang="en-US" sz="1400" b="0" i="1" u="none" strike="noStrike">
                        <a:solidFill>
                          <a:srgbClr val="000000"/>
                        </a:solidFill>
                        <a:latin typeface="Cambria Math" panose="02040503050406030204" pitchFamily="18" charset="0"/>
                      </a:rPr>
                      <m:t>=</m:t>
                    </m:r>
                    <m:sSup>
                      <m:sSupPr>
                        <m:ctrlPr>
                          <a:rPr lang="en-US" sz="1400" b="0" i="1" u="none" strike="noStrike">
                            <a:solidFill>
                              <a:srgbClr val="000000"/>
                            </a:solidFill>
                            <a:latin typeface="Cambria Math" panose="02040503050406030204" pitchFamily="18" charset="0"/>
                          </a:rPr>
                        </m:ctrlPr>
                      </m:sSupPr>
                      <m:e>
                        <m:r>
                          <a:rPr lang="en-US" sz="1400" b="0" i="1" u="none" strike="noStrike">
                            <a:solidFill>
                              <a:srgbClr val="000000"/>
                            </a:solidFill>
                            <a:latin typeface="Cambria Math" panose="02040503050406030204" pitchFamily="18" charset="0"/>
                          </a:rPr>
                          <m:t>𝑒</m:t>
                        </m:r>
                      </m:e>
                      <m:sup>
                        <m:d>
                          <m:dPr>
                            <m:begChr m:val="["/>
                            <m:endChr m:val="]"/>
                            <m:ctrlPr>
                              <a:rPr lang="en-US" sz="1400" b="0" i="1" u="none" strike="noStrike">
                                <a:solidFill>
                                  <a:srgbClr val="000000"/>
                                </a:solidFill>
                                <a:latin typeface="Cambria Math" panose="02040503050406030204" pitchFamily="18" charset="0"/>
                              </a:rPr>
                            </m:ctrlPr>
                          </m:dPr>
                          <m:e>
                            <m:r>
                              <a:rPr lang="en-US" sz="1400" b="0" i="1" u="none" strike="noStrike">
                                <a:solidFill>
                                  <a:srgbClr val="000000"/>
                                </a:solidFill>
                                <a:latin typeface="Cambria Math" panose="02040503050406030204" pitchFamily="18" charset="0"/>
                              </a:rPr>
                              <m:t>𝑎</m:t>
                            </m:r>
                            <m:r>
                              <a:rPr lang="en-US" sz="1400" b="0" i="1" u="none" strike="noStrike">
                                <a:solidFill>
                                  <a:srgbClr val="000000"/>
                                </a:solidFill>
                                <a:latin typeface="Cambria Math" panose="02040503050406030204" pitchFamily="18" charset="0"/>
                              </a:rPr>
                              <m:t>−</m:t>
                            </m:r>
                            <m:r>
                              <a:rPr lang="en-US" sz="1400" b="0" i="1" u="none" strike="noStrike">
                                <a:solidFill>
                                  <a:srgbClr val="000000"/>
                                </a:solidFill>
                                <a:latin typeface="Cambria Math" panose="02040503050406030204" pitchFamily="18" charset="0"/>
                              </a:rPr>
                              <m:t>𝑏</m:t>
                            </m:r>
                            <m:rad>
                              <m:radPr>
                                <m:degHide m:val="on"/>
                                <m:ctrlPr>
                                  <a:rPr lang="en-US" sz="1400" b="0" i="1" u="none" strike="noStrike">
                                    <a:solidFill>
                                      <a:srgbClr val="000000"/>
                                    </a:solidFill>
                                    <a:latin typeface="Cambria Math" panose="02040503050406030204" pitchFamily="18" charset="0"/>
                                  </a:rPr>
                                </m:ctrlPr>
                              </m:radPr>
                              <m:deg/>
                              <m:e>
                                <m:r>
                                  <a:rPr lang="en-US" sz="1400" b="0" i="1" u="none" strike="noStrike">
                                    <a:solidFill>
                                      <a:srgbClr val="000000"/>
                                    </a:solidFill>
                                    <a:latin typeface="Cambria Math" panose="02040503050406030204" pitchFamily="18" charset="0"/>
                                  </a:rPr>
                                  <m:t>𝑐</m:t>
                                </m:r>
                                <m:r>
                                  <a:rPr lang="en-US" sz="1400" b="0" i="1" u="none" strike="noStrike">
                                    <a:solidFill>
                                      <a:srgbClr val="000000"/>
                                    </a:solidFill>
                                    <a:latin typeface="Cambria Math" panose="02040503050406030204" pitchFamily="18" charset="0"/>
                                  </a:rPr>
                                  <m:t>+</m:t>
                                </m:r>
                                <m:f>
                                  <m:fPr>
                                    <m:ctrlPr>
                                      <a:rPr lang="en-US" sz="1400" b="0" i="1" u="none" strike="noStrike">
                                        <a:solidFill>
                                          <a:srgbClr val="000000"/>
                                        </a:solidFill>
                                        <a:latin typeface="Cambria Math" panose="02040503050406030204" pitchFamily="18" charset="0"/>
                                      </a:rPr>
                                    </m:ctrlPr>
                                  </m:fPr>
                                  <m:num>
                                    <m:r>
                                      <a:rPr lang="en-US" sz="1400" b="0" i="1" u="none" strike="noStrike">
                                        <a:solidFill>
                                          <a:srgbClr val="000000"/>
                                        </a:solidFill>
                                        <a:latin typeface="Cambria Math" panose="02040503050406030204" pitchFamily="18" charset="0"/>
                                      </a:rPr>
                                      <m:t>2</m:t>
                                    </m:r>
                                  </m:num>
                                  <m:den>
                                    <m:r>
                                      <a:rPr lang="en-US" sz="1400" b="0" i="1" u="none" strike="noStrike">
                                        <a:solidFill>
                                          <a:srgbClr val="000000"/>
                                        </a:solidFill>
                                        <a:latin typeface="Cambria Math" panose="02040503050406030204" pitchFamily="18" charset="0"/>
                                      </a:rPr>
                                      <m:t>𝑏</m:t>
                                    </m:r>
                                  </m:den>
                                </m:f>
                                <m:r>
                                  <a:rPr lang="en-US" sz="1400" b="0" i="1" u="none" strike="noStrike">
                                    <a:solidFill>
                                      <a:srgbClr val="000000"/>
                                    </a:solidFill>
                                    <a:latin typeface="Cambria Math" panose="02040503050406030204" pitchFamily="18" charset="0"/>
                                  </a:rPr>
                                  <m:t>∗</m:t>
                                </m:r>
                                <m:r>
                                  <a:rPr lang="en-US" sz="1400" b="0" i="1" u="none" strike="noStrike">
                                    <a:solidFill>
                                      <a:srgbClr val="000000"/>
                                    </a:solidFill>
                                    <a:latin typeface="Cambria Math" panose="02040503050406030204" pitchFamily="18" charset="0"/>
                                  </a:rPr>
                                  <m:t>𝑙𝑛</m:t>
                                </m:r>
                                <m:d>
                                  <m:dPr>
                                    <m:ctrlPr>
                                      <a:rPr lang="en-US" sz="1400" b="0" i="1" u="none" strike="noStrike">
                                        <a:solidFill>
                                          <a:srgbClr val="000000"/>
                                        </a:solidFill>
                                        <a:latin typeface="Cambria Math" panose="02040503050406030204" pitchFamily="18" charset="0"/>
                                      </a:rPr>
                                    </m:ctrlPr>
                                  </m:dPr>
                                  <m:e>
                                    <m:f>
                                      <m:fPr>
                                        <m:ctrlPr>
                                          <a:rPr lang="en-US" sz="1400" b="0" i="1" u="none" strike="noStrike">
                                            <a:solidFill>
                                              <a:srgbClr val="000000"/>
                                            </a:solidFill>
                                            <a:latin typeface="Cambria Math" panose="02040503050406030204" pitchFamily="18" charset="0"/>
                                          </a:rPr>
                                        </m:ctrlPr>
                                      </m:fPr>
                                      <m:num>
                                        <m:r>
                                          <a:rPr lang="en-US" sz="1400" b="0" i="1" u="none" strike="noStrike">
                                            <a:solidFill>
                                              <a:srgbClr val="000000"/>
                                            </a:solidFill>
                                            <a:latin typeface="Cambria Math" panose="02040503050406030204" pitchFamily="18" charset="0"/>
                                          </a:rPr>
                                          <m:t>𝑑</m:t>
                                        </m:r>
                                      </m:num>
                                      <m:den>
                                        <m:r>
                                          <a:rPr lang="en-US" sz="1400" b="0" i="1" u="none" strike="noStrike">
                                            <a:solidFill>
                                              <a:srgbClr val="000000"/>
                                            </a:solidFill>
                                            <a:latin typeface="Cambria Math" panose="02040503050406030204" pitchFamily="18" charset="0"/>
                                          </a:rPr>
                                          <m:t>𝑋</m:t>
                                        </m:r>
                                      </m:den>
                                    </m:f>
                                  </m:e>
                                </m:d>
                              </m:e>
                            </m:rad>
                          </m:e>
                        </m:d>
                      </m:sup>
                    </m:sSup>
                  </m:oMath>
                </m:oMathPara>
              </a14:m>
              <a:endParaRPr lang="en-US" sz="1400" b="0" i="0" u="none" strike="noStrike">
                <a:solidFill>
                  <a:srgbClr val="000000"/>
                </a:solidFill>
                <a:latin typeface="Calibri"/>
              </a:endParaRPr>
            </a:p>
          </xdr:txBody>
        </xdr:sp>
      </mc:Choice>
      <mc:Fallback xmlns="">
        <xdr:sp macro="" textlink="">
          <xdr:nvSpPr>
            <xdr:cNvPr id="172" name="TextBox 171"/>
            <xdr:cNvSpPr txBox="1"/>
          </xdr:nvSpPr>
          <xdr:spPr>
            <a:xfrm>
              <a:off x="3389324" y="46715362"/>
              <a:ext cx="1887526" cy="4905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ctr"/>
              <a:r>
                <a:rPr lang="en-US" sz="1400" b="0" i="0" u="none" strike="noStrike">
                  <a:solidFill>
                    <a:srgbClr val="000000"/>
                  </a:solidFill>
                  <a:latin typeface="Cambria Math" panose="02040503050406030204" pitchFamily="18" charset="0"/>
                </a:rPr>
                <a:t>𝑇=𝑒^[𝑎−𝑏√(𝑐+2/𝑏∗𝑙𝑛(𝑑/𝑋) )] </a:t>
              </a:r>
              <a:endParaRPr lang="en-US" sz="1400" b="0" i="0" u="none" strike="noStrike">
                <a:solidFill>
                  <a:srgbClr val="000000"/>
                </a:solidFill>
                <a:latin typeface="Calibri"/>
              </a:endParaRPr>
            </a:p>
          </xdr:txBody>
        </xdr:sp>
      </mc:Fallback>
    </mc:AlternateContent>
    <xdr:clientData/>
  </xdr:oneCellAnchor>
  <xdr:twoCellAnchor editAs="oneCell">
    <xdr:from>
      <xdr:col>0</xdr:col>
      <xdr:colOff>31750</xdr:colOff>
      <xdr:row>0</xdr:row>
      <xdr:rowOff>42336</xdr:rowOff>
    </xdr:from>
    <xdr:to>
      <xdr:col>1</xdr:col>
      <xdr:colOff>1032595</xdr:colOff>
      <xdr:row>0</xdr:row>
      <xdr:rowOff>485849</xdr:rowOff>
    </xdr:to>
    <xdr:pic>
      <xdr:nvPicPr>
        <xdr:cNvPr id="160" name="Picture 159">
          <a:extLst>
            <a:ext uri="{FF2B5EF4-FFF2-40B4-BE49-F238E27FC236}">
              <a16:creationId xmlns:a16="http://schemas.microsoft.com/office/drawing/2014/main" id="{00000000-0008-0000-0B00-0000A0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1750" y="42336"/>
          <a:ext cx="1709928" cy="443513"/>
        </a:xfrm>
        <a:prstGeom prst="rect">
          <a:avLst/>
        </a:prstGeom>
      </xdr:spPr>
    </xdr:pic>
    <xdr:clientData/>
  </xdr:twoCellAnchor>
  <xdr:twoCellAnchor editAs="oneCell">
    <xdr:from>
      <xdr:col>0</xdr:col>
      <xdr:colOff>31749</xdr:colOff>
      <xdr:row>15</xdr:row>
      <xdr:rowOff>63501</xdr:rowOff>
    </xdr:from>
    <xdr:to>
      <xdr:col>1</xdr:col>
      <xdr:colOff>1032594</xdr:colOff>
      <xdr:row>16</xdr:row>
      <xdr:rowOff>9598</xdr:rowOff>
    </xdr:to>
    <xdr:pic>
      <xdr:nvPicPr>
        <xdr:cNvPr id="161" name="Picture 160">
          <a:extLst>
            <a:ext uri="{FF2B5EF4-FFF2-40B4-BE49-F238E27FC236}">
              <a16:creationId xmlns:a16="http://schemas.microsoft.com/office/drawing/2014/main" id="{00000000-0008-0000-0B00-0000A1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1749" y="7609418"/>
          <a:ext cx="1709928" cy="443513"/>
        </a:xfrm>
        <a:prstGeom prst="rect">
          <a:avLst/>
        </a:prstGeom>
      </xdr:spPr>
    </xdr:pic>
    <xdr:clientData/>
  </xdr:twoCellAnchor>
  <xdr:twoCellAnchor editAs="oneCell">
    <xdr:from>
      <xdr:col>0</xdr:col>
      <xdr:colOff>42337</xdr:colOff>
      <xdr:row>35</xdr:row>
      <xdr:rowOff>63498</xdr:rowOff>
    </xdr:from>
    <xdr:to>
      <xdr:col>1</xdr:col>
      <xdr:colOff>1043182</xdr:colOff>
      <xdr:row>36</xdr:row>
      <xdr:rowOff>9594</xdr:rowOff>
    </xdr:to>
    <xdr:pic>
      <xdr:nvPicPr>
        <xdr:cNvPr id="162" name="Picture 161">
          <a:extLst>
            <a:ext uri="{FF2B5EF4-FFF2-40B4-BE49-F238E27FC236}">
              <a16:creationId xmlns:a16="http://schemas.microsoft.com/office/drawing/2014/main" id="{00000000-0008-0000-0B00-0000A2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2337" y="15144748"/>
          <a:ext cx="1709928" cy="443513"/>
        </a:xfrm>
        <a:prstGeom prst="rect">
          <a:avLst/>
        </a:prstGeom>
      </xdr:spPr>
    </xdr:pic>
    <xdr:clientData/>
  </xdr:twoCellAnchor>
  <xdr:twoCellAnchor editAs="oneCell">
    <xdr:from>
      <xdr:col>0</xdr:col>
      <xdr:colOff>42353</xdr:colOff>
      <xdr:row>45</xdr:row>
      <xdr:rowOff>42332</xdr:rowOff>
    </xdr:from>
    <xdr:to>
      <xdr:col>1</xdr:col>
      <xdr:colOff>1043198</xdr:colOff>
      <xdr:row>45</xdr:row>
      <xdr:rowOff>485845</xdr:rowOff>
    </xdr:to>
    <xdr:pic>
      <xdr:nvPicPr>
        <xdr:cNvPr id="163" name="Picture 162">
          <a:extLst>
            <a:ext uri="{FF2B5EF4-FFF2-40B4-BE49-F238E27FC236}">
              <a16:creationId xmlns:a16="http://schemas.microsoft.com/office/drawing/2014/main" id="{00000000-0008-0000-0B00-0000A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2353" y="22669499"/>
          <a:ext cx="1709928" cy="443513"/>
        </a:xfrm>
        <a:prstGeom prst="rect">
          <a:avLst/>
        </a:prstGeom>
      </xdr:spPr>
    </xdr:pic>
    <xdr:clientData/>
  </xdr:twoCellAnchor>
  <xdr:twoCellAnchor editAs="oneCell">
    <xdr:from>
      <xdr:col>0</xdr:col>
      <xdr:colOff>42332</xdr:colOff>
      <xdr:row>58</xdr:row>
      <xdr:rowOff>63500</xdr:rowOff>
    </xdr:from>
    <xdr:to>
      <xdr:col>1</xdr:col>
      <xdr:colOff>1043177</xdr:colOff>
      <xdr:row>59</xdr:row>
      <xdr:rowOff>9596</xdr:rowOff>
    </xdr:to>
    <xdr:pic>
      <xdr:nvPicPr>
        <xdr:cNvPr id="164" name="Picture 163">
          <a:extLst>
            <a:ext uri="{FF2B5EF4-FFF2-40B4-BE49-F238E27FC236}">
              <a16:creationId xmlns:a16="http://schemas.microsoft.com/office/drawing/2014/main" id="{00000000-0008-0000-0B00-0000A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2332" y="30247167"/>
          <a:ext cx="1709928" cy="443513"/>
        </a:xfrm>
        <a:prstGeom prst="rect">
          <a:avLst/>
        </a:prstGeom>
      </xdr:spPr>
    </xdr:pic>
    <xdr:clientData/>
  </xdr:twoCellAnchor>
  <xdr:twoCellAnchor editAs="oneCell">
    <xdr:from>
      <xdr:col>0</xdr:col>
      <xdr:colOff>42332</xdr:colOff>
      <xdr:row>92</xdr:row>
      <xdr:rowOff>52916</xdr:rowOff>
    </xdr:from>
    <xdr:to>
      <xdr:col>1</xdr:col>
      <xdr:colOff>1043177</xdr:colOff>
      <xdr:row>93</xdr:row>
      <xdr:rowOff>6572</xdr:rowOff>
    </xdr:to>
    <xdr:pic>
      <xdr:nvPicPr>
        <xdr:cNvPr id="165" name="Picture 164">
          <a:extLst>
            <a:ext uri="{FF2B5EF4-FFF2-40B4-BE49-F238E27FC236}">
              <a16:creationId xmlns:a16="http://schemas.microsoft.com/office/drawing/2014/main" id="{00000000-0008-0000-0B00-0000A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2332" y="37793083"/>
          <a:ext cx="1709928" cy="443513"/>
        </a:xfrm>
        <a:prstGeom prst="rect">
          <a:avLst/>
        </a:prstGeom>
      </xdr:spPr>
    </xdr:pic>
    <xdr:clientData/>
  </xdr:twoCellAnchor>
  <xdr:twoCellAnchor editAs="oneCell">
    <xdr:from>
      <xdr:col>0</xdr:col>
      <xdr:colOff>31749</xdr:colOff>
      <xdr:row>122</xdr:row>
      <xdr:rowOff>63497</xdr:rowOff>
    </xdr:from>
    <xdr:to>
      <xdr:col>1</xdr:col>
      <xdr:colOff>1032594</xdr:colOff>
      <xdr:row>123</xdr:row>
      <xdr:rowOff>9594</xdr:rowOff>
    </xdr:to>
    <xdr:pic>
      <xdr:nvPicPr>
        <xdr:cNvPr id="174" name="Picture 173">
          <a:extLst>
            <a:ext uri="{FF2B5EF4-FFF2-40B4-BE49-F238E27FC236}">
              <a16:creationId xmlns:a16="http://schemas.microsoft.com/office/drawing/2014/main" id="{00000000-0008-0000-0B00-0000AE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1749" y="45360164"/>
          <a:ext cx="1709928" cy="443513"/>
        </a:xfrm>
        <a:prstGeom prst="rect">
          <a:avLst/>
        </a:prstGeom>
      </xdr:spPr>
    </xdr:pic>
    <xdr:clientData/>
  </xdr:twoCellAnchor>
  <xdr:twoCellAnchor editAs="oneCell">
    <xdr:from>
      <xdr:col>0</xdr:col>
      <xdr:colOff>42332</xdr:colOff>
      <xdr:row>146</xdr:row>
      <xdr:rowOff>74080</xdr:rowOff>
    </xdr:from>
    <xdr:to>
      <xdr:col>1</xdr:col>
      <xdr:colOff>1043177</xdr:colOff>
      <xdr:row>147</xdr:row>
      <xdr:rowOff>20177</xdr:rowOff>
    </xdr:to>
    <xdr:pic>
      <xdr:nvPicPr>
        <xdr:cNvPr id="186" name="Picture 185">
          <a:extLst>
            <a:ext uri="{FF2B5EF4-FFF2-40B4-BE49-F238E27FC236}">
              <a16:creationId xmlns:a16="http://schemas.microsoft.com/office/drawing/2014/main" id="{00000000-0008-0000-0B00-0000BA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2332" y="60483747"/>
          <a:ext cx="1709928" cy="443513"/>
        </a:xfrm>
        <a:prstGeom prst="rect">
          <a:avLst/>
        </a:prstGeom>
      </xdr:spPr>
    </xdr:pic>
    <xdr:clientData/>
  </xdr:twoCellAnchor>
  <xdr:twoCellAnchor editAs="oneCell">
    <xdr:from>
      <xdr:col>0</xdr:col>
      <xdr:colOff>42332</xdr:colOff>
      <xdr:row>171</xdr:row>
      <xdr:rowOff>52916</xdr:rowOff>
    </xdr:from>
    <xdr:to>
      <xdr:col>1</xdr:col>
      <xdr:colOff>1043177</xdr:colOff>
      <xdr:row>172</xdr:row>
      <xdr:rowOff>6572</xdr:rowOff>
    </xdr:to>
    <xdr:pic>
      <xdr:nvPicPr>
        <xdr:cNvPr id="187" name="Picture 186">
          <a:extLst>
            <a:ext uri="{FF2B5EF4-FFF2-40B4-BE49-F238E27FC236}">
              <a16:creationId xmlns:a16="http://schemas.microsoft.com/office/drawing/2014/main" id="{00000000-0008-0000-0B00-0000BB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2332" y="68029666"/>
          <a:ext cx="1709928" cy="443513"/>
        </a:xfrm>
        <a:prstGeom prst="rect">
          <a:avLst/>
        </a:prstGeom>
      </xdr:spPr>
    </xdr:pic>
    <xdr:clientData/>
  </xdr:twoCellAnchor>
  <xdr:twoCellAnchor editAs="oneCell">
    <xdr:from>
      <xdr:col>0</xdr:col>
      <xdr:colOff>42332</xdr:colOff>
      <xdr:row>185</xdr:row>
      <xdr:rowOff>63496</xdr:rowOff>
    </xdr:from>
    <xdr:to>
      <xdr:col>1</xdr:col>
      <xdr:colOff>1043177</xdr:colOff>
      <xdr:row>186</xdr:row>
      <xdr:rowOff>9591</xdr:rowOff>
    </xdr:to>
    <xdr:pic>
      <xdr:nvPicPr>
        <xdr:cNvPr id="188" name="Picture 187">
          <a:extLst>
            <a:ext uri="{FF2B5EF4-FFF2-40B4-BE49-F238E27FC236}">
              <a16:creationId xmlns:a16="http://schemas.microsoft.com/office/drawing/2014/main" id="{00000000-0008-0000-0B00-0000BC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2332" y="75575579"/>
          <a:ext cx="1709928" cy="443513"/>
        </a:xfrm>
        <a:prstGeom prst="rect">
          <a:avLst/>
        </a:prstGeom>
      </xdr:spPr>
    </xdr:pic>
    <xdr:clientData/>
  </xdr:twoCellAnchor>
  <xdr:twoCellAnchor editAs="oneCell">
    <xdr:from>
      <xdr:col>0</xdr:col>
      <xdr:colOff>31752</xdr:colOff>
      <xdr:row>198</xdr:row>
      <xdr:rowOff>52920</xdr:rowOff>
    </xdr:from>
    <xdr:to>
      <xdr:col>1</xdr:col>
      <xdr:colOff>1032597</xdr:colOff>
      <xdr:row>199</xdr:row>
      <xdr:rowOff>6575</xdr:rowOff>
    </xdr:to>
    <xdr:pic>
      <xdr:nvPicPr>
        <xdr:cNvPr id="189" name="Picture 188">
          <a:extLst>
            <a:ext uri="{FF2B5EF4-FFF2-40B4-BE49-F238E27FC236}">
              <a16:creationId xmlns:a16="http://schemas.microsoft.com/office/drawing/2014/main" id="{00000000-0008-0000-0B00-0000BD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1752" y="83110920"/>
          <a:ext cx="1709928" cy="443513"/>
        </a:xfrm>
        <a:prstGeom prst="rect">
          <a:avLst/>
        </a:prstGeom>
      </xdr:spPr>
    </xdr:pic>
    <xdr:clientData/>
  </xdr:twoCellAnchor>
  <xdr:twoCellAnchor editAs="oneCell">
    <xdr:from>
      <xdr:col>0</xdr:col>
      <xdr:colOff>42337</xdr:colOff>
      <xdr:row>217</xdr:row>
      <xdr:rowOff>52921</xdr:rowOff>
    </xdr:from>
    <xdr:to>
      <xdr:col>1</xdr:col>
      <xdr:colOff>1043182</xdr:colOff>
      <xdr:row>218</xdr:row>
      <xdr:rowOff>6576</xdr:rowOff>
    </xdr:to>
    <xdr:pic>
      <xdr:nvPicPr>
        <xdr:cNvPr id="190" name="Picture 189">
          <a:extLst>
            <a:ext uri="{FF2B5EF4-FFF2-40B4-BE49-F238E27FC236}">
              <a16:creationId xmlns:a16="http://schemas.microsoft.com/office/drawing/2014/main" id="{00000000-0008-0000-0B00-0000BE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2337" y="90646254"/>
          <a:ext cx="1709928" cy="443513"/>
        </a:xfrm>
        <a:prstGeom prst="rect">
          <a:avLst/>
        </a:prstGeom>
      </xdr:spPr>
    </xdr:pic>
    <xdr:clientData/>
  </xdr:twoCellAnchor>
  <xdr:twoCellAnchor editAs="oneCell">
    <xdr:from>
      <xdr:col>0</xdr:col>
      <xdr:colOff>42332</xdr:colOff>
      <xdr:row>242</xdr:row>
      <xdr:rowOff>31749</xdr:rowOff>
    </xdr:from>
    <xdr:to>
      <xdr:col>1</xdr:col>
      <xdr:colOff>1043177</xdr:colOff>
      <xdr:row>242</xdr:row>
      <xdr:rowOff>475262</xdr:rowOff>
    </xdr:to>
    <xdr:pic>
      <xdr:nvPicPr>
        <xdr:cNvPr id="191" name="Picture 190">
          <a:extLst>
            <a:ext uri="{FF2B5EF4-FFF2-40B4-BE49-F238E27FC236}">
              <a16:creationId xmlns:a16="http://schemas.microsoft.com/office/drawing/2014/main" id="{00000000-0008-0000-0B00-0000BF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2332" y="98170999"/>
          <a:ext cx="1709928" cy="443513"/>
        </a:xfrm>
        <a:prstGeom prst="rect">
          <a:avLst/>
        </a:prstGeom>
      </xdr:spPr>
    </xdr:pic>
    <xdr:clientData/>
  </xdr:twoCellAnchor>
  <xdr:twoCellAnchor editAs="oneCell">
    <xdr:from>
      <xdr:col>0</xdr:col>
      <xdr:colOff>42333</xdr:colOff>
      <xdr:row>252</xdr:row>
      <xdr:rowOff>52915</xdr:rowOff>
    </xdr:from>
    <xdr:to>
      <xdr:col>1</xdr:col>
      <xdr:colOff>1043178</xdr:colOff>
      <xdr:row>253</xdr:row>
      <xdr:rowOff>6570</xdr:rowOff>
    </xdr:to>
    <xdr:pic>
      <xdr:nvPicPr>
        <xdr:cNvPr id="192" name="Picture 191">
          <a:extLst>
            <a:ext uri="{FF2B5EF4-FFF2-40B4-BE49-F238E27FC236}">
              <a16:creationId xmlns:a16="http://schemas.microsoft.com/office/drawing/2014/main" id="{00000000-0008-0000-0B00-0000C0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2333" y="105738082"/>
          <a:ext cx="1709928" cy="443513"/>
        </a:xfrm>
        <a:prstGeom prst="rect">
          <a:avLst/>
        </a:prstGeom>
      </xdr:spPr>
    </xdr:pic>
    <xdr:clientData/>
  </xdr:twoCellAnchor>
  <xdr:twoCellAnchor editAs="oneCell">
    <xdr:from>
      <xdr:col>0</xdr:col>
      <xdr:colOff>52918</xdr:colOff>
      <xdr:row>262</xdr:row>
      <xdr:rowOff>105837</xdr:rowOff>
    </xdr:from>
    <xdr:to>
      <xdr:col>1</xdr:col>
      <xdr:colOff>1053763</xdr:colOff>
      <xdr:row>263</xdr:row>
      <xdr:rowOff>51932</xdr:rowOff>
    </xdr:to>
    <xdr:pic>
      <xdr:nvPicPr>
        <xdr:cNvPr id="193" name="Picture 192">
          <a:extLst>
            <a:ext uri="{FF2B5EF4-FFF2-40B4-BE49-F238E27FC236}">
              <a16:creationId xmlns:a16="http://schemas.microsoft.com/office/drawing/2014/main" id="{00000000-0008-0000-0B00-0000C1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2918" y="113336920"/>
          <a:ext cx="1709928" cy="44351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42345</xdr:colOff>
      <xdr:row>0</xdr:row>
      <xdr:rowOff>42338</xdr:rowOff>
    </xdr:from>
    <xdr:to>
      <xdr:col>7</xdr:col>
      <xdr:colOff>61850</xdr:colOff>
      <xdr:row>0</xdr:row>
      <xdr:rowOff>485851</xdr:rowOff>
    </xdr:to>
    <xdr:pic>
      <xdr:nvPicPr>
        <xdr:cNvPr id="4" name="Picture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345" y="42338"/>
          <a:ext cx="1707811" cy="44351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52963</xdr:colOff>
      <xdr:row>4</xdr:row>
      <xdr:rowOff>184642</xdr:rowOff>
    </xdr:from>
    <xdr:to>
      <xdr:col>43</xdr:col>
      <xdr:colOff>173321</xdr:colOff>
      <xdr:row>34</xdr:row>
      <xdr:rowOff>6989</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2963" y="1145801"/>
          <a:ext cx="9628040" cy="5537347"/>
        </a:xfrm>
        <a:prstGeom prst="rect">
          <a:avLst/>
        </a:prstGeom>
      </xdr:spPr>
    </xdr:pic>
    <xdr:clientData fLocksWithSheet="0"/>
  </xdr:twoCellAnchor>
  <xdr:twoCellAnchor editAs="oneCell">
    <xdr:from>
      <xdr:col>0</xdr:col>
      <xdr:colOff>42345</xdr:colOff>
      <xdr:row>0</xdr:row>
      <xdr:rowOff>42338</xdr:rowOff>
    </xdr:from>
    <xdr:to>
      <xdr:col>7</xdr:col>
      <xdr:colOff>111856</xdr:colOff>
      <xdr:row>0</xdr:row>
      <xdr:rowOff>485851</xdr:rowOff>
    </xdr:to>
    <xdr:pic>
      <xdr:nvPicPr>
        <xdr:cNvPr id="129" name="Picture 128">
          <a:extLst>
            <a:ext uri="{FF2B5EF4-FFF2-40B4-BE49-F238E27FC236}">
              <a16:creationId xmlns:a16="http://schemas.microsoft.com/office/drawing/2014/main" id="{00000000-0008-0000-0D00-000081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2345" y="42338"/>
          <a:ext cx="1707811" cy="443513"/>
        </a:xfrm>
        <a:prstGeom prst="rect">
          <a:avLst/>
        </a:prstGeom>
      </xdr:spPr>
    </xdr:pic>
    <xdr:clientData/>
  </xdr:twoCellAnchor>
  <xdr:twoCellAnchor>
    <xdr:from>
      <xdr:col>0</xdr:col>
      <xdr:colOff>178593</xdr:colOff>
      <xdr:row>21</xdr:row>
      <xdr:rowOff>5647</xdr:rowOff>
    </xdr:from>
    <xdr:to>
      <xdr:col>14</xdr:col>
      <xdr:colOff>181841</xdr:colOff>
      <xdr:row>33</xdr:row>
      <xdr:rowOff>151240</xdr:rowOff>
    </xdr:to>
    <xdr:grpSp>
      <xdr:nvGrpSpPr>
        <xdr:cNvPr id="130" name="Group 129">
          <a:extLst>
            <a:ext uri="{FF2B5EF4-FFF2-40B4-BE49-F238E27FC236}">
              <a16:creationId xmlns:a16="http://schemas.microsoft.com/office/drawing/2014/main" id="{00000000-0008-0000-0D00-000082000000}"/>
            </a:ext>
          </a:extLst>
        </xdr:cNvPr>
        <xdr:cNvGrpSpPr/>
      </xdr:nvGrpSpPr>
      <xdr:grpSpPr>
        <a:xfrm>
          <a:off x="174783" y="4208077"/>
          <a:ext cx="3148403" cy="2429688"/>
          <a:chOff x="135415" y="3986581"/>
          <a:chExt cx="3226117" cy="2431593"/>
        </a:xfrm>
      </xdr:grpSpPr>
      <xdr:grpSp>
        <xdr:nvGrpSpPr>
          <xdr:cNvPr id="131" name="Group 130">
            <a:extLst>
              <a:ext uri="{FF2B5EF4-FFF2-40B4-BE49-F238E27FC236}">
                <a16:creationId xmlns:a16="http://schemas.microsoft.com/office/drawing/2014/main" id="{00000000-0008-0000-0D00-000083000000}"/>
              </a:ext>
            </a:extLst>
          </xdr:cNvPr>
          <xdr:cNvGrpSpPr/>
        </xdr:nvGrpSpPr>
        <xdr:grpSpPr>
          <a:xfrm>
            <a:off x="135415" y="3986581"/>
            <a:ext cx="3226117" cy="2428950"/>
            <a:chOff x="135415" y="3986581"/>
            <a:chExt cx="3226117" cy="2428950"/>
          </a:xfrm>
        </xdr:grpSpPr>
        <xdr:grpSp>
          <xdr:nvGrpSpPr>
            <xdr:cNvPr id="133" name="Group 132">
              <a:extLst>
                <a:ext uri="{FF2B5EF4-FFF2-40B4-BE49-F238E27FC236}">
                  <a16:creationId xmlns:a16="http://schemas.microsoft.com/office/drawing/2014/main" id="{00000000-0008-0000-0D00-000085000000}"/>
                </a:ext>
              </a:extLst>
            </xdr:cNvPr>
            <xdr:cNvGrpSpPr/>
          </xdr:nvGrpSpPr>
          <xdr:grpSpPr>
            <a:xfrm>
              <a:off x="145136" y="3986581"/>
              <a:ext cx="3186665" cy="2417151"/>
              <a:chOff x="10373592" y="3715907"/>
              <a:chExt cx="2108011" cy="2068827"/>
            </a:xfrm>
          </xdr:grpSpPr>
          <xdr:sp macro="" textlink="">
            <xdr:nvSpPr>
              <xdr:cNvPr id="163" name="Rectangle 162">
                <a:extLst>
                  <a:ext uri="{FF2B5EF4-FFF2-40B4-BE49-F238E27FC236}">
                    <a16:creationId xmlns:a16="http://schemas.microsoft.com/office/drawing/2014/main" id="{00000000-0008-0000-0D00-0000A3000000}"/>
                  </a:ext>
                </a:extLst>
              </xdr:cNvPr>
              <xdr:cNvSpPr/>
            </xdr:nvSpPr>
            <xdr:spPr>
              <a:xfrm>
                <a:off x="10373592" y="3724872"/>
                <a:ext cx="2108011" cy="2059862"/>
              </a:xfrm>
              <a:prstGeom prst="rect">
                <a:avLst/>
              </a:prstGeom>
              <a:solidFill>
                <a:sysClr val="window" lastClr="FFFFFF"/>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64" name="TextBox 163">
                <a:extLst>
                  <a:ext uri="{FF2B5EF4-FFF2-40B4-BE49-F238E27FC236}">
                    <a16:creationId xmlns:a16="http://schemas.microsoft.com/office/drawing/2014/main" id="{00000000-0008-0000-0D00-0000A4000000}"/>
                  </a:ext>
                </a:extLst>
              </xdr:cNvPr>
              <xdr:cNvSpPr txBox="1"/>
            </xdr:nvSpPr>
            <xdr:spPr>
              <a:xfrm>
                <a:off x="10668056" y="3715907"/>
                <a:ext cx="1456537" cy="2113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r>
                  <a:rPr lang="en-US" sz="1100" b="0" i="0" u="none" strike="noStrike">
                    <a:solidFill>
                      <a:srgbClr val="000000"/>
                    </a:solidFill>
                    <a:latin typeface="Calibri"/>
                  </a:rPr>
                  <a:t>Railroad</a:t>
                </a:r>
                <a:r>
                  <a:rPr lang="en-US" sz="1100" b="0" i="0" u="none" strike="noStrike" baseline="0">
                    <a:solidFill>
                      <a:srgbClr val="000000"/>
                    </a:solidFill>
                    <a:latin typeface="Calibri"/>
                  </a:rPr>
                  <a:t> Preemption Time Summary</a:t>
                </a:r>
                <a:endParaRPr lang="en-US" sz="1100" b="0" i="0" u="none" strike="noStrike">
                  <a:solidFill>
                    <a:srgbClr val="000000"/>
                  </a:solidFill>
                  <a:latin typeface="Calibri"/>
                </a:endParaRPr>
              </a:p>
            </xdr:txBody>
          </xdr:sp>
        </xdr:grpSp>
        <xdr:sp macro="" textlink="Other!M2">
          <xdr:nvSpPr>
            <xdr:cNvPr id="134" name="TextBox 133">
              <a:extLst>
                <a:ext uri="{FF2B5EF4-FFF2-40B4-BE49-F238E27FC236}">
                  <a16:creationId xmlns:a16="http://schemas.microsoft.com/office/drawing/2014/main" id="{00000000-0008-0000-0D00-000086000000}"/>
                </a:ext>
              </a:extLst>
            </xdr:cNvPr>
            <xdr:cNvSpPr txBox="1"/>
          </xdr:nvSpPr>
          <xdr:spPr>
            <a:xfrm>
              <a:off x="2516523" y="4166675"/>
              <a:ext cx="845009" cy="6919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fld id="{0EAD1E08-7197-49E5-A565-D2E576B7ECCB}" type="TxLink">
                <a:rPr lang="en-US" sz="1100" b="0" i="0" u="none" strike="noStrike">
                  <a:solidFill>
                    <a:srgbClr val="000000"/>
                  </a:solidFill>
                  <a:latin typeface="Calibri"/>
                </a:rPr>
                <a:pPr algn="ctr"/>
                <a:t>UDOT Form Values 1/0/00</a:t>
              </a:fld>
              <a:endParaRPr lang="en-US" sz="1100" b="0" i="0" u="none" strike="noStrike">
                <a:solidFill>
                  <a:srgbClr val="000000"/>
                </a:solidFill>
                <a:latin typeface="Calibri"/>
              </a:endParaRPr>
            </a:p>
          </xdr:txBody>
        </xdr:sp>
        <xdr:sp macro="" textlink="Other!M3">
          <xdr:nvSpPr>
            <xdr:cNvPr id="135" name="TextBox 134">
              <a:extLst>
                <a:ext uri="{FF2B5EF4-FFF2-40B4-BE49-F238E27FC236}">
                  <a16:creationId xmlns:a16="http://schemas.microsoft.com/office/drawing/2014/main" id="{00000000-0008-0000-0D00-000087000000}"/>
                </a:ext>
              </a:extLst>
            </xdr:cNvPr>
            <xdr:cNvSpPr txBox="1"/>
          </xdr:nvSpPr>
          <xdr:spPr>
            <a:xfrm>
              <a:off x="2543343" y="4797341"/>
              <a:ext cx="709078" cy="246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fld id="{80A64216-CD7A-43F7-A910-B774090FC2B2}" type="TxLink">
                <a:rPr lang="en-US" sz="1100" b="0" i="0" u="none" strike="noStrike">
                  <a:solidFill>
                    <a:srgbClr val="000000"/>
                  </a:solidFill>
                  <a:latin typeface="Calibri"/>
                </a:rPr>
                <a:pPr algn="ctr"/>
                <a:t>20 sec</a:t>
              </a:fld>
              <a:endParaRPr lang="en-US" sz="1100" b="0" i="0" u="none" strike="noStrike">
                <a:solidFill>
                  <a:srgbClr val="000000"/>
                </a:solidFill>
                <a:latin typeface="Calibri"/>
              </a:endParaRPr>
            </a:p>
          </xdr:txBody>
        </xdr:sp>
        <xdr:sp macro="" textlink="Other!M4">
          <xdr:nvSpPr>
            <xdr:cNvPr id="136" name="TextBox 135">
              <a:extLst>
                <a:ext uri="{FF2B5EF4-FFF2-40B4-BE49-F238E27FC236}">
                  <a16:creationId xmlns:a16="http://schemas.microsoft.com/office/drawing/2014/main" id="{00000000-0008-0000-0D00-000088000000}"/>
                </a:ext>
              </a:extLst>
            </xdr:cNvPr>
            <xdr:cNvSpPr txBox="1"/>
          </xdr:nvSpPr>
          <xdr:spPr>
            <a:xfrm>
              <a:off x="2524858" y="4997394"/>
              <a:ext cx="727563" cy="246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fld id="{21BF4D13-13C4-4BCF-AA4E-5CBF2F910FF6}" type="TxLink">
                <a:rPr lang="en-US" sz="1100" b="0" i="0" u="none" strike="noStrike">
                  <a:solidFill>
                    <a:srgbClr val="000000"/>
                  </a:solidFill>
                  <a:latin typeface="Calibri"/>
                </a:rPr>
                <a:pPr algn="ctr"/>
                <a:t>0 sec</a:t>
              </a:fld>
              <a:endParaRPr lang="en-US" sz="1100" b="0" i="0" u="none" strike="noStrike">
                <a:solidFill>
                  <a:srgbClr val="000000"/>
                </a:solidFill>
                <a:latin typeface="Calibri"/>
              </a:endParaRPr>
            </a:p>
          </xdr:txBody>
        </xdr:sp>
        <xdr:sp macro="" textlink="Other!M5">
          <xdr:nvSpPr>
            <xdr:cNvPr id="137" name="TextBox 136">
              <a:extLst>
                <a:ext uri="{FF2B5EF4-FFF2-40B4-BE49-F238E27FC236}">
                  <a16:creationId xmlns:a16="http://schemas.microsoft.com/office/drawing/2014/main" id="{00000000-0008-0000-0D00-000089000000}"/>
                </a:ext>
              </a:extLst>
            </xdr:cNvPr>
            <xdr:cNvSpPr txBox="1"/>
          </xdr:nvSpPr>
          <xdr:spPr>
            <a:xfrm>
              <a:off x="2536015" y="5193816"/>
              <a:ext cx="709811" cy="246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fld id="{41A05C1C-7DB8-42CB-8A84-C347EF884750}" type="TxLink">
                <a:rPr lang="en-US" sz="1100" b="0" i="0" u="none" strike="noStrike">
                  <a:solidFill>
                    <a:srgbClr val="000000"/>
                  </a:solidFill>
                  <a:latin typeface="Calibri"/>
                </a:rPr>
                <a:pPr algn="ctr"/>
                <a:t>20 sec</a:t>
              </a:fld>
              <a:endParaRPr lang="en-US" sz="1100" b="0" i="0" u="none" strike="noStrike">
                <a:solidFill>
                  <a:srgbClr val="000000"/>
                </a:solidFill>
                <a:latin typeface="Calibri"/>
              </a:endParaRPr>
            </a:p>
          </xdr:txBody>
        </xdr:sp>
        <xdr:sp macro="" textlink="Other!M6">
          <xdr:nvSpPr>
            <xdr:cNvPr id="138" name="TextBox 137">
              <a:extLst>
                <a:ext uri="{FF2B5EF4-FFF2-40B4-BE49-F238E27FC236}">
                  <a16:creationId xmlns:a16="http://schemas.microsoft.com/office/drawing/2014/main" id="{00000000-0008-0000-0D00-00008A000000}"/>
                </a:ext>
              </a:extLst>
            </xdr:cNvPr>
            <xdr:cNvSpPr txBox="1"/>
          </xdr:nvSpPr>
          <xdr:spPr>
            <a:xfrm>
              <a:off x="2521361" y="5391640"/>
              <a:ext cx="709811" cy="246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fld id="{42078B67-063D-41F8-BF13-90F828CE0BCC}" type="TxLink">
                <a:rPr lang="en-US" sz="1100" b="0" i="0" u="none" strike="noStrike">
                  <a:solidFill>
                    <a:srgbClr val="000000"/>
                  </a:solidFill>
                  <a:latin typeface="Calibri"/>
                </a:rPr>
                <a:pPr algn="ctr"/>
                <a:t>5 sec</a:t>
              </a:fld>
              <a:endParaRPr lang="en-US" sz="1100" b="0" i="0" u="none" strike="noStrike">
                <a:solidFill>
                  <a:srgbClr val="000000"/>
                </a:solidFill>
                <a:latin typeface="Calibri"/>
              </a:endParaRPr>
            </a:p>
          </xdr:txBody>
        </xdr:sp>
        <xdr:sp macro="" textlink="Other!M7">
          <xdr:nvSpPr>
            <xdr:cNvPr id="139" name="TextBox 138">
              <a:extLst>
                <a:ext uri="{FF2B5EF4-FFF2-40B4-BE49-F238E27FC236}">
                  <a16:creationId xmlns:a16="http://schemas.microsoft.com/office/drawing/2014/main" id="{00000000-0008-0000-0D00-00008B000000}"/>
                </a:ext>
              </a:extLst>
            </xdr:cNvPr>
            <xdr:cNvSpPr txBox="1"/>
          </xdr:nvSpPr>
          <xdr:spPr>
            <a:xfrm>
              <a:off x="2543342" y="5573547"/>
              <a:ext cx="724465" cy="246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fld id="{C15ACDF1-42B5-477F-B8A4-3A96CB782341}" type="TxLink">
                <a:rPr lang="en-US" sz="1100" b="0" i="0" u="none" strike="noStrike">
                  <a:solidFill>
                    <a:srgbClr val="000000"/>
                  </a:solidFill>
                  <a:latin typeface="Calibri"/>
                </a:rPr>
                <a:pPr algn="ctr"/>
                <a:t>25 sec</a:t>
              </a:fld>
              <a:endParaRPr lang="en-US" sz="1100" b="0" i="0" u="none" strike="noStrike">
                <a:solidFill>
                  <a:srgbClr val="000000"/>
                </a:solidFill>
                <a:latin typeface="Calibri"/>
              </a:endParaRPr>
            </a:p>
          </xdr:txBody>
        </xdr:sp>
        <xdr:sp macro="" textlink="">
          <xdr:nvSpPr>
            <xdr:cNvPr id="140" name="TextBox 139">
              <a:extLst>
                <a:ext uri="{FF2B5EF4-FFF2-40B4-BE49-F238E27FC236}">
                  <a16:creationId xmlns:a16="http://schemas.microsoft.com/office/drawing/2014/main" id="{00000000-0008-0000-0D00-00008C000000}"/>
                </a:ext>
              </a:extLst>
            </xdr:cNvPr>
            <xdr:cNvSpPr txBox="1"/>
          </xdr:nvSpPr>
          <xdr:spPr>
            <a:xfrm>
              <a:off x="198679" y="4797341"/>
              <a:ext cx="981590" cy="246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l"/>
              <a:r>
                <a:rPr lang="en-US" sz="1100" b="0" i="0" u="none" strike="noStrike">
                  <a:solidFill>
                    <a:srgbClr val="000000"/>
                  </a:solidFill>
                  <a:latin typeface="Calibri"/>
                </a:rPr>
                <a:t>Minimum</a:t>
              </a:r>
              <a:r>
                <a:rPr lang="en-US" sz="1100" b="0" i="0" u="none" strike="noStrike" baseline="0">
                  <a:solidFill>
                    <a:srgbClr val="000000"/>
                  </a:solidFill>
                  <a:latin typeface="Calibri"/>
                </a:rPr>
                <a:t> Time</a:t>
              </a:r>
              <a:endParaRPr lang="en-US" sz="1100" b="0" i="0" u="none" strike="noStrike">
                <a:solidFill>
                  <a:srgbClr val="000000"/>
                </a:solidFill>
                <a:latin typeface="Calibri"/>
              </a:endParaRPr>
            </a:p>
          </xdr:txBody>
        </xdr:sp>
        <xdr:sp macro="" textlink="">
          <xdr:nvSpPr>
            <xdr:cNvPr id="141" name="TextBox 140">
              <a:extLst>
                <a:ext uri="{FF2B5EF4-FFF2-40B4-BE49-F238E27FC236}">
                  <a16:creationId xmlns:a16="http://schemas.microsoft.com/office/drawing/2014/main" id="{00000000-0008-0000-0D00-00008D000000}"/>
                </a:ext>
              </a:extLst>
            </xdr:cNvPr>
            <xdr:cNvSpPr txBox="1"/>
          </xdr:nvSpPr>
          <xdr:spPr>
            <a:xfrm>
              <a:off x="198679" y="4997394"/>
              <a:ext cx="981590" cy="246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l"/>
              <a:r>
                <a:rPr lang="en-US" sz="1100" b="0" i="0" u="none" strike="noStrike">
                  <a:solidFill>
                    <a:srgbClr val="000000"/>
                  </a:solidFill>
                  <a:latin typeface="Calibri"/>
                </a:rPr>
                <a:t>Clearance Time</a:t>
              </a:r>
            </a:p>
          </xdr:txBody>
        </xdr:sp>
        <xdr:sp macro="" textlink="">
          <xdr:nvSpPr>
            <xdr:cNvPr id="142" name="TextBox 141">
              <a:extLst>
                <a:ext uri="{FF2B5EF4-FFF2-40B4-BE49-F238E27FC236}">
                  <a16:creationId xmlns:a16="http://schemas.microsoft.com/office/drawing/2014/main" id="{00000000-0008-0000-0D00-00008E000000}"/>
                </a:ext>
              </a:extLst>
            </xdr:cNvPr>
            <xdr:cNvSpPr txBox="1"/>
          </xdr:nvSpPr>
          <xdr:spPr>
            <a:xfrm>
              <a:off x="192803" y="5391640"/>
              <a:ext cx="779421" cy="246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l"/>
              <a:r>
                <a:rPr lang="en-US" sz="1100" b="0" i="0" u="none" strike="noStrike">
                  <a:solidFill>
                    <a:srgbClr val="000000"/>
                  </a:solidFill>
                  <a:latin typeface="Calibri"/>
                </a:rPr>
                <a:t>Buffer Time</a:t>
              </a:r>
            </a:p>
          </xdr:txBody>
        </xdr:sp>
        <xdr:sp macro="" textlink="">
          <xdr:nvSpPr>
            <xdr:cNvPr id="143" name="TextBox 142">
              <a:extLst>
                <a:ext uri="{FF2B5EF4-FFF2-40B4-BE49-F238E27FC236}">
                  <a16:creationId xmlns:a16="http://schemas.microsoft.com/office/drawing/2014/main" id="{00000000-0008-0000-0D00-00008F000000}"/>
                </a:ext>
              </a:extLst>
            </xdr:cNvPr>
            <xdr:cNvSpPr txBox="1"/>
          </xdr:nvSpPr>
          <xdr:spPr>
            <a:xfrm>
              <a:off x="200130" y="5573547"/>
              <a:ext cx="1232907" cy="246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l"/>
              <a:r>
                <a:rPr lang="en-US" sz="1100" b="0" i="0" u="none" strike="noStrike">
                  <a:solidFill>
                    <a:srgbClr val="000000"/>
                  </a:solidFill>
                  <a:latin typeface="Calibri"/>
                </a:rPr>
                <a:t>Total</a:t>
              </a:r>
              <a:r>
                <a:rPr lang="en-US" sz="1100" b="0" i="0" u="none" strike="noStrike" baseline="0">
                  <a:solidFill>
                    <a:srgbClr val="000000"/>
                  </a:solidFill>
                  <a:latin typeface="Calibri"/>
                </a:rPr>
                <a:t> Warning Time</a:t>
              </a:r>
              <a:endParaRPr lang="en-US" sz="1100" b="0" i="0" u="none" strike="noStrike">
                <a:solidFill>
                  <a:srgbClr val="000000"/>
                </a:solidFill>
                <a:latin typeface="Calibri"/>
              </a:endParaRPr>
            </a:p>
          </xdr:txBody>
        </xdr:sp>
        <xdr:sp macro="" textlink="">
          <xdr:nvSpPr>
            <xdr:cNvPr id="144" name="TextBox 143">
              <a:extLst>
                <a:ext uri="{FF2B5EF4-FFF2-40B4-BE49-F238E27FC236}">
                  <a16:creationId xmlns:a16="http://schemas.microsoft.com/office/drawing/2014/main" id="{00000000-0008-0000-0D00-000090000000}"/>
                </a:ext>
              </a:extLst>
            </xdr:cNvPr>
            <xdr:cNvSpPr txBox="1"/>
          </xdr:nvSpPr>
          <xdr:spPr>
            <a:xfrm>
              <a:off x="200130" y="5769942"/>
              <a:ext cx="1629931" cy="246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l"/>
              <a:r>
                <a:rPr lang="en-US" sz="1100" b="0" i="0" u="none" strike="noStrike">
                  <a:solidFill>
                    <a:srgbClr val="000000"/>
                  </a:solidFill>
                  <a:latin typeface="Calibri"/>
                </a:rPr>
                <a:t>Equipment Response Time</a:t>
              </a:r>
            </a:p>
          </xdr:txBody>
        </xdr:sp>
        <xdr:sp macro="" textlink="">
          <xdr:nvSpPr>
            <xdr:cNvPr id="145" name="TextBox 144">
              <a:extLst>
                <a:ext uri="{FF2B5EF4-FFF2-40B4-BE49-F238E27FC236}">
                  <a16:creationId xmlns:a16="http://schemas.microsoft.com/office/drawing/2014/main" id="{00000000-0008-0000-0D00-000091000000}"/>
                </a:ext>
              </a:extLst>
            </xdr:cNvPr>
            <xdr:cNvSpPr txBox="1"/>
          </xdr:nvSpPr>
          <xdr:spPr>
            <a:xfrm>
              <a:off x="200098" y="5977947"/>
              <a:ext cx="1629931" cy="246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l"/>
              <a:r>
                <a:rPr lang="en-US" sz="1100" b="0" i="0" u="none" strike="noStrike">
                  <a:solidFill>
                    <a:srgbClr val="000000"/>
                  </a:solidFill>
                  <a:latin typeface="Calibri"/>
                </a:rPr>
                <a:t>Advance Preemption Time</a:t>
              </a:r>
            </a:p>
          </xdr:txBody>
        </xdr:sp>
        <xdr:sp macro="" textlink="">
          <xdr:nvSpPr>
            <xdr:cNvPr id="146" name="TextBox 145">
              <a:extLst>
                <a:ext uri="{FF2B5EF4-FFF2-40B4-BE49-F238E27FC236}">
                  <a16:creationId xmlns:a16="http://schemas.microsoft.com/office/drawing/2014/main" id="{00000000-0008-0000-0D00-000092000000}"/>
                </a:ext>
              </a:extLst>
            </xdr:cNvPr>
            <xdr:cNvSpPr txBox="1"/>
          </xdr:nvSpPr>
          <xdr:spPr>
            <a:xfrm>
              <a:off x="192735" y="6168643"/>
              <a:ext cx="1629931" cy="246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l"/>
              <a:r>
                <a:rPr lang="en-US" sz="1100" b="0" i="0" u="none" strike="noStrike">
                  <a:solidFill>
                    <a:srgbClr val="000000"/>
                  </a:solidFill>
                  <a:latin typeface="Calibri"/>
                </a:rPr>
                <a:t>Total Approach Time</a:t>
              </a:r>
            </a:p>
          </xdr:txBody>
        </xdr:sp>
        <xdr:sp macro="" textlink="Other!N2">
          <xdr:nvSpPr>
            <xdr:cNvPr id="147" name="TextBox 146">
              <a:extLst>
                <a:ext uri="{FF2B5EF4-FFF2-40B4-BE49-F238E27FC236}">
                  <a16:creationId xmlns:a16="http://schemas.microsoft.com/office/drawing/2014/main" id="{00000000-0008-0000-0D00-000093000000}"/>
                </a:ext>
              </a:extLst>
            </xdr:cNvPr>
            <xdr:cNvSpPr txBox="1"/>
          </xdr:nvSpPr>
          <xdr:spPr>
            <a:xfrm>
              <a:off x="1832321" y="4209607"/>
              <a:ext cx="739695" cy="5895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fld id="{EE8F34C4-EF08-4215-8F52-79F7CAD3B11B}" type="TxLink">
                <a:rPr lang="en-US" sz="1100" b="0" i="0" u="none" strike="noStrike">
                  <a:solidFill>
                    <a:srgbClr val="000000"/>
                  </a:solidFill>
                  <a:latin typeface="Calibri"/>
                </a:rPr>
                <a:pPr algn="ctr"/>
                <a:t>Existing 6/1/16</a:t>
              </a:fld>
              <a:endParaRPr lang="en-US" sz="1100" b="0" i="0" u="none" strike="noStrike">
                <a:solidFill>
                  <a:srgbClr val="000000"/>
                </a:solidFill>
                <a:latin typeface="Calibri"/>
              </a:endParaRPr>
            </a:p>
          </xdr:txBody>
        </xdr:sp>
        <xdr:sp macro="" textlink="">
          <xdr:nvSpPr>
            <xdr:cNvPr id="148" name="TextBox 147">
              <a:extLst>
                <a:ext uri="{FF2B5EF4-FFF2-40B4-BE49-F238E27FC236}">
                  <a16:creationId xmlns:a16="http://schemas.microsoft.com/office/drawing/2014/main" id="{00000000-0008-0000-0D00-000094000000}"/>
                </a:ext>
              </a:extLst>
            </xdr:cNvPr>
            <xdr:cNvSpPr txBox="1"/>
          </xdr:nvSpPr>
          <xdr:spPr>
            <a:xfrm>
              <a:off x="193716" y="5193816"/>
              <a:ext cx="1491252" cy="246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l"/>
              <a:r>
                <a:rPr lang="en-US" sz="1100" b="0" i="0" u="none" strike="noStrike">
                  <a:solidFill>
                    <a:srgbClr val="000000"/>
                  </a:solidFill>
                  <a:latin typeface="Calibri"/>
                </a:rPr>
                <a:t>Minimum Warning</a:t>
              </a:r>
              <a:r>
                <a:rPr lang="en-US" sz="1100" b="0" i="0" u="none" strike="noStrike" baseline="0">
                  <a:solidFill>
                    <a:srgbClr val="000000"/>
                  </a:solidFill>
                  <a:latin typeface="Calibri"/>
                </a:rPr>
                <a:t> Time</a:t>
              </a:r>
              <a:endParaRPr lang="en-US" sz="1100" b="0" i="0" u="none" strike="noStrike">
                <a:solidFill>
                  <a:srgbClr val="000000"/>
                </a:solidFill>
                <a:latin typeface="Calibri"/>
              </a:endParaRPr>
            </a:p>
          </xdr:txBody>
        </xdr:sp>
        <xdr:sp macro="" textlink="Other!M8">
          <xdr:nvSpPr>
            <xdr:cNvPr id="149" name="TextBox 148">
              <a:extLst>
                <a:ext uri="{FF2B5EF4-FFF2-40B4-BE49-F238E27FC236}">
                  <a16:creationId xmlns:a16="http://schemas.microsoft.com/office/drawing/2014/main" id="{00000000-0008-0000-0D00-000095000000}"/>
                </a:ext>
              </a:extLst>
            </xdr:cNvPr>
            <xdr:cNvSpPr txBox="1"/>
          </xdr:nvSpPr>
          <xdr:spPr>
            <a:xfrm>
              <a:off x="2546854" y="5769942"/>
              <a:ext cx="706300" cy="246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fld id="{EAFD53AB-2A05-48AA-A0F4-3DC3F1B1F80B}" type="TxLink">
                <a:rPr lang="en-US" sz="1100" b="0" i="0" u="none" strike="noStrike">
                  <a:solidFill>
                    <a:srgbClr val="000000"/>
                  </a:solidFill>
                  <a:latin typeface="Calibri"/>
                </a:rPr>
                <a:pPr algn="ctr"/>
                <a:t>5 sec</a:t>
              </a:fld>
              <a:endParaRPr lang="en-US" sz="1100" b="0" i="0" u="none" strike="noStrike">
                <a:solidFill>
                  <a:srgbClr val="000000"/>
                </a:solidFill>
                <a:latin typeface="Calibri"/>
              </a:endParaRPr>
            </a:p>
          </xdr:txBody>
        </xdr:sp>
        <xdr:sp macro="" textlink="Other!M9">
          <xdr:nvSpPr>
            <xdr:cNvPr id="150" name="TextBox 149">
              <a:extLst>
                <a:ext uri="{FF2B5EF4-FFF2-40B4-BE49-F238E27FC236}">
                  <a16:creationId xmlns:a16="http://schemas.microsoft.com/office/drawing/2014/main" id="{00000000-0008-0000-0D00-000096000000}"/>
                </a:ext>
              </a:extLst>
            </xdr:cNvPr>
            <xdr:cNvSpPr txBox="1"/>
          </xdr:nvSpPr>
          <xdr:spPr>
            <a:xfrm>
              <a:off x="2535115" y="5977947"/>
              <a:ext cx="725366" cy="246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fld id="{10337645-DAFF-4D04-A124-CCEFB2884614}" type="TxLink">
                <a:rPr lang="en-US" sz="1100" b="0" i="0" u="none" strike="noStrike">
                  <a:solidFill>
                    <a:srgbClr val="000000"/>
                  </a:solidFill>
                  <a:latin typeface="Calibri"/>
                </a:rPr>
                <a:pPr algn="ctr"/>
                <a:t>14 sec</a:t>
              </a:fld>
              <a:endParaRPr lang="en-US" sz="1100" b="0" i="0" u="none" strike="noStrike">
                <a:solidFill>
                  <a:srgbClr val="000000"/>
                </a:solidFill>
                <a:latin typeface="Calibri"/>
              </a:endParaRPr>
            </a:p>
          </xdr:txBody>
        </xdr:sp>
        <xdr:sp macro="" textlink="Other!M10">
          <xdr:nvSpPr>
            <xdr:cNvPr id="151" name="TextBox 150">
              <a:extLst>
                <a:ext uri="{FF2B5EF4-FFF2-40B4-BE49-F238E27FC236}">
                  <a16:creationId xmlns:a16="http://schemas.microsoft.com/office/drawing/2014/main" id="{00000000-0008-0000-0D00-000097000000}"/>
                </a:ext>
              </a:extLst>
            </xdr:cNvPr>
            <xdr:cNvSpPr txBox="1"/>
          </xdr:nvSpPr>
          <xdr:spPr>
            <a:xfrm>
              <a:off x="2542664" y="6168643"/>
              <a:ext cx="717817" cy="246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fld id="{5F9A683C-7E74-4A56-A0A6-E7B5760AA6EA}" type="TxLink">
                <a:rPr lang="en-US" sz="1100" b="0" i="0" u="none" strike="noStrike">
                  <a:solidFill>
                    <a:srgbClr val="000000"/>
                  </a:solidFill>
                  <a:latin typeface="Calibri"/>
                </a:rPr>
                <a:pPr algn="ctr"/>
                <a:t>44 sec</a:t>
              </a:fld>
              <a:endParaRPr lang="en-US" sz="1100" b="0" i="0" u="none" strike="noStrike">
                <a:solidFill>
                  <a:srgbClr val="000000"/>
                </a:solidFill>
                <a:latin typeface="Calibri"/>
              </a:endParaRPr>
            </a:p>
          </xdr:txBody>
        </xdr:sp>
        <xdr:cxnSp macro="">
          <xdr:nvCxnSpPr>
            <xdr:cNvPr id="152" name="Straight Connector 151">
              <a:extLst>
                <a:ext uri="{FF2B5EF4-FFF2-40B4-BE49-F238E27FC236}">
                  <a16:creationId xmlns:a16="http://schemas.microsoft.com/office/drawing/2014/main" id="{00000000-0008-0000-0D00-000098000000}"/>
                </a:ext>
              </a:extLst>
            </xdr:cNvPr>
            <xdr:cNvCxnSpPr/>
          </xdr:nvCxnSpPr>
          <xdr:spPr>
            <a:xfrm flipV="1">
              <a:off x="152423" y="4213808"/>
              <a:ext cx="3186760" cy="0"/>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sp macro="" textlink="Other!N3">
          <xdr:nvSpPr>
            <xdr:cNvPr id="153" name="TextBox 152">
              <a:extLst>
                <a:ext uri="{FF2B5EF4-FFF2-40B4-BE49-F238E27FC236}">
                  <a16:creationId xmlns:a16="http://schemas.microsoft.com/office/drawing/2014/main" id="{00000000-0008-0000-0D00-000099000000}"/>
                </a:ext>
              </a:extLst>
            </xdr:cNvPr>
            <xdr:cNvSpPr txBox="1"/>
          </xdr:nvSpPr>
          <xdr:spPr>
            <a:xfrm>
              <a:off x="1865258" y="4797341"/>
              <a:ext cx="659600" cy="246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fld id="{AABFF9B4-95EB-4E63-AFEE-002EA60E647C}" type="TxLink">
                <a:rPr lang="en-US" sz="1100" b="0" i="0" u="none" strike="noStrike">
                  <a:solidFill>
                    <a:srgbClr val="000000"/>
                  </a:solidFill>
                  <a:latin typeface="Calibri"/>
                </a:rPr>
                <a:pPr algn="ctr"/>
                <a:t>20 sec</a:t>
              </a:fld>
              <a:endParaRPr lang="en-US" sz="1100" b="0" i="0" u="none" strike="noStrike">
                <a:solidFill>
                  <a:srgbClr val="000000"/>
                </a:solidFill>
                <a:latin typeface="Calibri"/>
              </a:endParaRPr>
            </a:p>
          </xdr:txBody>
        </xdr:sp>
        <xdr:sp macro="" textlink="Other!N4">
          <xdr:nvSpPr>
            <xdr:cNvPr id="154" name="TextBox 153">
              <a:extLst>
                <a:ext uri="{FF2B5EF4-FFF2-40B4-BE49-F238E27FC236}">
                  <a16:creationId xmlns:a16="http://schemas.microsoft.com/office/drawing/2014/main" id="{00000000-0008-0000-0D00-00009A000000}"/>
                </a:ext>
              </a:extLst>
            </xdr:cNvPr>
            <xdr:cNvSpPr txBox="1"/>
          </xdr:nvSpPr>
          <xdr:spPr>
            <a:xfrm>
              <a:off x="1874782" y="4997394"/>
              <a:ext cx="650075" cy="246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fld id="{715A527D-522A-41A3-B5B8-ED44E9BD3674}" type="TxLink">
                <a:rPr lang="en-US" sz="1100" b="0" i="0" u="none" strike="noStrike">
                  <a:solidFill>
                    <a:srgbClr val="000000"/>
                  </a:solidFill>
                  <a:latin typeface="Calibri"/>
                </a:rPr>
                <a:pPr algn="ctr"/>
                <a:t>3 sec</a:t>
              </a:fld>
              <a:endParaRPr lang="en-US" sz="1100" b="0" i="0" u="none" strike="noStrike">
                <a:solidFill>
                  <a:srgbClr val="000000"/>
                </a:solidFill>
                <a:latin typeface="Calibri"/>
              </a:endParaRPr>
            </a:p>
          </xdr:txBody>
        </xdr:sp>
        <xdr:sp macro="" textlink="Other!N5">
          <xdr:nvSpPr>
            <xdr:cNvPr id="155" name="TextBox 154">
              <a:extLst>
                <a:ext uri="{FF2B5EF4-FFF2-40B4-BE49-F238E27FC236}">
                  <a16:creationId xmlns:a16="http://schemas.microsoft.com/office/drawing/2014/main" id="{00000000-0008-0000-0D00-00009B000000}"/>
                </a:ext>
              </a:extLst>
            </xdr:cNvPr>
            <xdr:cNvSpPr txBox="1"/>
          </xdr:nvSpPr>
          <xdr:spPr>
            <a:xfrm>
              <a:off x="1883576" y="5193816"/>
              <a:ext cx="644212" cy="246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fld id="{7C3B80C3-91D8-451C-9678-9DF1D06857FE}" type="TxLink">
                <a:rPr lang="en-US" sz="1100" b="0" i="0" u="none" strike="noStrike">
                  <a:solidFill>
                    <a:srgbClr val="000000"/>
                  </a:solidFill>
                  <a:latin typeface="Calibri"/>
                </a:rPr>
                <a:pPr algn="ctr"/>
                <a:t>23 sec</a:t>
              </a:fld>
              <a:endParaRPr lang="en-US" sz="1100" b="0" i="0" u="none" strike="noStrike">
                <a:solidFill>
                  <a:srgbClr val="000000"/>
                </a:solidFill>
                <a:latin typeface="Calibri"/>
              </a:endParaRPr>
            </a:p>
          </xdr:txBody>
        </xdr:sp>
        <xdr:sp macro="" textlink="Other!N6">
          <xdr:nvSpPr>
            <xdr:cNvPr id="156" name="TextBox 155">
              <a:extLst>
                <a:ext uri="{FF2B5EF4-FFF2-40B4-BE49-F238E27FC236}">
                  <a16:creationId xmlns:a16="http://schemas.microsoft.com/office/drawing/2014/main" id="{00000000-0008-0000-0D00-00009C000000}"/>
                </a:ext>
              </a:extLst>
            </xdr:cNvPr>
            <xdr:cNvSpPr txBox="1"/>
          </xdr:nvSpPr>
          <xdr:spPr>
            <a:xfrm>
              <a:off x="1875692" y="5391640"/>
              <a:ext cx="652096" cy="246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fld id="{7E0554C5-ECCA-4669-A2D4-610CBB0ACEDB}" type="TxLink">
                <a:rPr lang="en-US" sz="1100" b="0" i="0" u="none" strike="noStrike">
                  <a:solidFill>
                    <a:srgbClr val="000000"/>
                  </a:solidFill>
                  <a:latin typeface="Calibri"/>
                </a:rPr>
                <a:pPr algn="ctr"/>
                <a:t>5 sec</a:t>
              </a:fld>
              <a:endParaRPr lang="en-US" sz="1100" b="0" i="0" u="none" strike="noStrike">
                <a:solidFill>
                  <a:srgbClr val="000000"/>
                </a:solidFill>
                <a:latin typeface="Calibri"/>
              </a:endParaRPr>
            </a:p>
          </xdr:txBody>
        </xdr:sp>
        <xdr:sp macro="" textlink="Other!N7">
          <xdr:nvSpPr>
            <xdr:cNvPr id="157" name="TextBox 156">
              <a:extLst>
                <a:ext uri="{FF2B5EF4-FFF2-40B4-BE49-F238E27FC236}">
                  <a16:creationId xmlns:a16="http://schemas.microsoft.com/office/drawing/2014/main" id="{00000000-0008-0000-0D00-00009D000000}"/>
                </a:ext>
              </a:extLst>
            </xdr:cNvPr>
            <xdr:cNvSpPr txBox="1"/>
          </xdr:nvSpPr>
          <xdr:spPr>
            <a:xfrm>
              <a:off x="1868364" y="5573547"/>
              <a:ext cx="659423" cy="246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fld id="{71900E75-42CA-444C-833F-552E4D5DEDFA}" type="TxLink">
                <a:rPr lang="en-US" sz="1100" b="0" i="0" u="none" strike="noStrike">
                  <a:solidFill>
                    <a:srgbClr val="000000"/>
                  </a:solidFill>
                  <a:latin typeface="Calibri"/>
                </a:rPr>
                <a:pPr algn="ctr"/>
                <a:t>28 sec</a:t>
              </a:fld>
              <a:endParaRPr lang="en-US" sz="1100" b="0" i="0" u="none" strike="noStrike">
                <a:solidFill>
                  <a:srgbClr val="000000"/>
                </a:solidFill>
                <a:latin typeface="Calibri"/>
              </a:endParaRPr>
            </a:p>
          </xdr:txBody>
        </xdr:sp>
        <xdr:sp macro="" textlink="Other!N8">
          <xdr:nvSpPr>
            <xdr:cNvPr id="158" name="TextBox 157">
              <a:extLst>
                <a:ext uri="{FF2B5EF4-FFF2-40B4-BE49-F238E27FC236}">
                  <a16:creationId xmlns:a16="http://schemas.microsoft.com/office/drawing/2014/main" id="{00000000-0008-0000-0D00-00009E000000}"/>
                </a:ext>
              </a:extLst>
            </xdr:cNvPr>
            <xdr:cNvSpPr txBox="1"/>
          </xdr:nvSpPr>
          <xdr:spPr>
            <a:xfrm>
              <a:off x="1875692" y="5769942"/>
              <a:ext cx="659423" cy="246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fld id="{B4E9F640-F5C4-42A9-93E1-9B1C241FC732}" type="TxLink">
                <a:rPr lang="en-US" sz="1100" b="0" i="0" u="none" strike="noStrike">
                  <a:solidFill>
                    <a:srgbClr val="000000"/>
                  </a:solidFill>
                  <a:latin typeface="Calibri"/>
                </a:rPr>
                <a:pPr algn="ctr"/>
                <a:t>5 sec</a:t>
              </a:fld>
              <a:endParaRPr lang="en-US" sz="1100" b="0" i="0" u="none" strike="noStrike">
                <a:solidFill>
                  <a:srgbClr val="000000"/>
                </a:solidFill>
                <a:latin typeface="Calibri"/>
              </a:endParaRPr>
            </a:p>
          </xdr:txBody>
        </xdr:sp>
        <xdr:sp macro="" textlink="Other!N9">
          <xdr:nvSpPr>
            <xdr:cNvPr id="159" name="TextBox 158">
              <a:extLst>
                <a:ext uri="{FF2B5EF4-FFF2-40B4-BE49-F238E27FC236}">
                  <a16:creationId xmlns:a16="http://schemas.microsoft.com/office/drawing/2014/main" id="{00000000-0008-0000-0D00-00009F000000}"/>
                </a:ext>
              </a:extLst>
            </xdr:cNvPr>
            <xdr:cNvSpPr txBox="1"/>
          </xdr:nvSpPr>
          <xdr:spPr>
            <a:xfrm>
              <a:off x="1875692" y="5977947"/>
              <a:ext cx="659423" cy="246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fld id="{3E29074D-7849-4A4C-8324-2944D7653769}" type="TxLink">
                <a:rPr lang="en-US" sz="1100" b="0" i="0" u="none" strike="noStrike">
                  <a:solidFill>
                    <a:srgbClr val="000000"/>
                  </a:solidFill>
                  <a:latin typeface="Calibri"/>
                </a:rPr>
                <a:pPr algn="ctr"/>
                <a:t> </a:t>
              </a:fld>
              <a:endParaRPr lang="en-US" sz="1100" b="0" i="0" u="none" strike="noStrike">
                <a:solidFill>
                  <a:srgbClr val="000000"/>
                </a:solidFill>
                <a:latin typeface="Calibri"/>
              </a:endParaRPr>
            </a:p>
          </xdr:txBody>
        </xdr:sp>
        <xdr:sp macro="" textlink="Other!N10">
          <xdr:nvSpPr>
            <xdr:cNvPr id="160" name="TextBox 159">
              <a:extLst>
                <a:ext uri="{FF2B5EF4-FFF2-40B4-BE49-F238E27FC236}">
                  <a16:creationId xmlns:a16="http://schemas.microsoft.com/office/drawing/2014/main" id="{00000000-0008-0000-0D00-0000A0000000}"/>
                </a:ext>
              </a:extLst>
            </xdr:cNvPr>
            <xdr:cNvSpPr txBox="1"/>
          </xdr:nvSpPr>
          <xdr:spPr>
            <a:xfrm>
              <a:off x="1868365" y="6168643"/>
              <a:ext cx="666750" cy="246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fld id="{E33A33AB-7FFF-444F-9D47-9B2E52BFF4E8}" type="TxLink">
                <a:rPr lang="en-US" sz="1100" b="0" i="0" u="none" strike="noStrike">
                  <a:solidFill>
                    <a:srgbClr val="000000"/>
                  </a:solidFill>
                  <a:latin typeface="Calibri"/>
                </a:rPr>
                <a:pPr algn="ctr"/>
                <a:t>33 sec</a:t>
              </a:fld>
              <a:endParaRPr lang="en-US" sz="1100" b="0" i="0" u="none" strike="noStrike">
                <a:solidFill>
                  <a:srgbClr val="000000"/>
                </a:solidFill>
                <a:latin typeface="Calibri"/>
              </a:endParaRPr>
            </a:p>
          </xdr:txBody>
        </xdr:sp>
        <xdr:cxnSp macro="">
          <xdr:nvCxnSpPr>
            <xdr:cNvPr id="161" name="Straight Connector 160">
              <a:extLst>
                <a:ext uri="{FF2B5EF4-FFF2-40B4-BE49-F238E27FC236}">
                  <a16:creationId xmlns:a16="http://schemas.microsoft.com/office/drawing/2014/main" id="{00000000-0008-0000-0D00-0000A1000000}"/>
                </a:ext>
              </a:extLst>
            </xdr:cNvPr>
            <xdr:cNvCxnSpPr/>
          </xdr:nvCxnSpPr>
          <xdr:spPr>
            <a:xfrm flipV="1">
              <a:off x="135415" y="4793164"/>
              <a:ext cx="3196688" cy="0"/>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62" name="Straight Connector 161">
              <a:extLst>
                <a:ext uri="{FF2B5EF4-FFF2-40B4-BE49-F238E27FC236}">
                  <a16:creationId xmlns:a16="http://schemas.microsoft.com/office/drawing/2014/main" id="{00000000-0008-0000-0D00-0000A2000000}"/>
                </a:ext>
              </a:extLst>
            </xdr:cNvPr>
            <xdr:cNvCxnSpPr/>
          </xdr:nvCxnSpPr>
          <xdr:spPr>
            <a:xfrm flipV="1">
              <a:off x="1864786" y="4211757"/>
              <a:ext cx="0" cy="2194560"/>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grpSp>
      <xdr:cxnSp macro="">
        <xdr:nvCxnSpPr>
          <xdr:cNvPr id="132" name="Straight Connector 131">
            <a:extLst>
              <a:ext uri="{FF2B5EF4-FFF2-40B4-BE49-F238E27FC236}">
                <a16:creationId xmlns:a16="http://schemas.microsoft.com/office/drawing/2014/main" id="{00000000-0008-0000-0D00-000084000000}"/>
              </a:ext>
            </a:extLst>
          </xdr:cNvPr>
          <xdr:cNvCxnSpPr/>
        </xdr:nvCxnSpPr>
        <xdr:spPr>
          <a:xfrm flipV="1">
            <a:off x="2524244" y="4223614"/>
            <a:ext cx="0" cy="2194560"/>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26</xdr:col>
      <xdr:colOff>110109</xdr:colOff>
      <xdr:row>19</xdr:row>
      <xdr:rowOff>107157</xdr:rowOff>
    </xdr:from>
    <xdr:to>
      <xdr:col>40</xdr:col>
      <xdr:colOff>139983</xdr:colOff>
      <xdr:row>35</xdr:row>
      <xdr:rowOff>31907</xdr:rowOff>
    </xdr:to>
    <xdr:grpSp>
      <xdr:nvGrpSpPr>
        <xdr:cNvPr id="165" name="Group 164">
          <a:extLst>
            <a:ext uri="{FF2B5EF4-FFF2-40B4-BE49-F238E27FC236}">
              <a16:creationId xmlns:a16="http://schemas.microsoft.com/office/drawing/2014/main" id="{00000000-0008-0000-0D00-0000A5000000}"/>
            </a:ext>
          </a:extLst>
        </xdr:cNvPr>
        <xdr:cNvGrpSpPr/>
      </xdr:nvGrpSpPr>
      <xdr:grpSpPr>
        <a:xfrm>
          <a:off x="5651754" y="3924777"/>
          <a:ext cx="3456969" cy="2829875"/>
          <a:chOff x="5977369" y="2863900"/>
          <a:chExt cx="3228513" cy="2817969"/>
        </a:xfrm>
      </xdr:grpSpPr>
      <xdr:grpSp>
        <xdr:nvGrpSpPr>
          <xdr:cNvPr id="166" name="Group 165">
            <a:extLst>
              <a:ext uri="{FF2B5EF4-FFF2-40B4-BE49-F238E27FC236}">
                <a16:creationId xmlns:a16="http://schemas.microsoft.com/office/drawing/2014/main" id="{00000000-0008-0000-0D00-0000A6000000}"/>
              </a:ext>
            </a:extLst>
          </xdr:cNvPr>
          <xdr:cNvGrpSpPr/>
        </xdr:nvGrpSpPr>
        <xdr:grpSpPr>
          <a:xfrm>
            <a:off x="5977369" y="2863900"/>
            <a:ext cx="3228513" cy="2817969"/>
            <a:chOff x="5977369" y="2863900"/>
            <a:chExt cx="3228513" cy="2817969"/>
          </a:xfrm>
        </xdr:grpSpPr>
        <xdr:grpSp>
          <xdr:nvGrpSpPr>
            <xdr:cNvPr id="168" name="Group 167">
              <a:extLst>
                <a:ext uri="{FF2B5EF4-FFF2-40B4-BE49-F238E27FC236}">
                  <a16:creationId xmlns:a16="http://schemas.microsoft.com/office/drawing/2014/main" id="{00000000-0008-0000-0D00-0000A8000000}"/>
                </a:ext>
              </a:extLst>
            </xdr:cNvPr>
            <xdr:cNvGrpSpPr/>
          </xdr:nvGrpSpPr>
          <xdr:grpSpPr>
            <a:xfrm>
              <a:off x="5977369" y="2863900"/>
              <a:ext cx="3228513" cy="2718578"/>
              <a:chOff x="5790450" y="3472963"/>
              <a:chExt cx="3166973" cy="2718578"/>
            </a:xfrm>
          </xdr:grpSpPr>
          <xdr:grpSp>
            <xdr:nvGrpSpPr>
              <xdr:cNvPr id="170" name="Group 169">
                <a:extLst>
                  <a:ext uri="{FF2B5EF4-FFF2-40B4-BE49-F238E27FC236}">
                    <a16:creationId xmlns:a16="http://schemas.microsoft.com/office/drawing/2014/main" id="{00000000-0008-0000-0D00-0000AA000000}"/>
                  </a:ext>
                </a:extLst>
              </xdr:cNvPr>
              <xdr:cNvGrpSpPr/>
            </xdr:nvGrpSpPr>
            <xdr:grpSpPr>
              <a:xfrm>
                <a:off x="5790450" y="3472963"/>
                <a:ext cx="3166973" cy="2718578"/>
                <a:chOff x="5790450" y="3472963"/>
                <a:chExt cx="3166973" cy="2718578"/>
              </a:xfrm>
            </xdr:grpSpPr>
            <xdr:grpSp>
              <xdr:nvGrpSpPr>
                <xdr:cNvPr id="172" name="Group 171">
                  <a:extLst>
                    <a:ext uri="{FF2B5EF4-FFF2-40B4-BE49-F238E27FC236}">
                      <a16:creationId xmlns:a16="http://schemas.microsoft.com/office/drawing/2014/main" id="{00000000-0008-0000-0D00-0000AC000000}"/>
                    </a:ext>
                  </a:extLst>
                </xdr:cNvPr>
                <xdr:cNvGrpSpPr/>
              </xdr:nvGrpSpPr>
              <xdr:grpSpPr>
                <a:xfrm>
                  <a:off x="5790450" y="3472963"/>
                  <a:ext cx="3166973" cy="2718578"/>
                  <a:chOff x="6031508" y="4705453"/>
                  <a:chExt cx="3184491" cy="2267369"/>
                </a:xfrm>
              </xdr:grpSpPr>
              <xdr:grpSp>
                <xdr:nvGrpSpPr>
                  <xdr:cNvPr id="190" name="Group 189">
                    <a:extLst>
                      <a:ext uri="{FF2B5EF4-FFF2-40B4-BE49-F238E27FC236}">
                        <a16:creationId xmlns:a16="http://schemas.microsoft.com/office/drawing/2014/main" id="{00000000-0008-0000-0D00-0000BE000000}"/>
                      </a:ext>
                    </a:extLst>
                  </xdr:cNvPr>
                  <xdr:cNvGrpSpPr/>
                </xdr:nvGrpSpPr>
                <xdr:grpSpPr>
                  <a:xfrm>
                    <a:off x="6031508" y="4705453"/>
                    <a:ext cx="3184491" cy="2267369"/>
                    <a:chOff x="668885" y="3736728"/>
                    <a:chExt cx="3164589" cy="2267369"/>
                  </a:xfrm>
                </xdr:grpSpPr>
                <xdr:grpSp>
                  <xdr:nvGrpSpPr>
                    <xdr:cNvPr id="192" name="Group 191">
                      <a:extLst>
                        <a:ext uri="{FF2B5EF4-FFF2-40B4-BE49-F238E27FC236}">
                          <a16:creationId xmlns:a16="http://schemas.microsoft.com/office/drawing/2014/main" id="{00000000-0008-0000-0D00-0000C0000000}"/>
                        </a:ext>
                      </a:extLst>
                    </xdr:cNvPr>
                    <xdr:cNvGrpSpPr/>
                  </xdr:nvGrpSpPr>
                  <xdr:grpSpPr>
                    <a:xfrm>
                      <a:off x="668885" y="3736728"/>
                      <a:ext cx="3164589" cy="2267369"/>
                      <a:chOff x="1462635" y="4599269"/>
                      <a:chExt cx="3164589" cy="2267369"/>
                    </a:xfrm>
                  </xdr:grpSpPr>
                  <xdr:grpSp>
                    <xdr:nvGrpSpPr>
                      <xdr:cNvPr id="195" name="Group 194">
                        <a:extLst>
                          <a:ext uri="{FF2B5EF4-FFF2-40B4-BE49-F238E27FC236}">
                            <a16:creationId xmlns:a16="http://schemas.microsoft.com/office/drawing/2014/main" id="{00000000-0008-0000-0D00-0000C3000000}"/>
                          </a:ext>
                        </a:extLst>
                      </xdr:cNvPr>
                      <xdr:cNvGrpSpPr/>
                    </xdr:nvGrpSpPr>
                    <xdr:grpSpPr>
                      <a:xfrm>
                        <a:off x="1462635" y="4599269"/>
                        <a:ext cx="3164589" cy="2267369"/>
                        <a:chOff x="690052" y="4593978"/>
                        <a:chExt cx="3164589" cy="2267369"/>
                      </a:xfrm>
                    </xdr:grpSpPr>
                    <xdr:grpSp>
                      <xdr:nvGrpSpPr>
                        <xdr:cNvPr id="197" name="Group 196">
                          <a:extLst>
                            <a:ext uri="{FF2B5EF4-FFF2-40B4-BE49-F238E27FC236}">
                              <a16:creationId xmlns:a16="http://schemas.microsoft.com/office/drawing/2014/main" id="{00000000-0008-0000-0D00-0000C5000000}"/>
                            </a:ext>
                          </a:extLst>
                        </xdr:cNvPr>
                        <xdr:cNvGrpSpPr/>
                      </xdr:nvGrpSpPr>
                      <xdr:grpSpPr>
                        <a:xfrm>
                          <a:off x="690052" y="4593978"/>
                          <a:ext cx="3164589" cy="2267369"/>
                          <a:chOff x="5528266" y="2671486"/>
                          <a:chExt cx="3165347" cy="3366698"/>
                        </a:xfrm>
                      </xdr:grpSpPr>
                      <xdr:grpSp>
                        <xdr:nvGrpSpPr>
                          <xdr:cNvPr id="200" name="Group 199">
                            <a:extLst>
                              <a:ext uri="{FF2B5EF4-FFF2-40B4-BE49-F238E27FC236}">
                                <a16:creationId xmlns:a16="http://schemas.microsoft.com/office/drawing/2014/main" id="{00000000-0008-0000-0D00-0000C8000000}"/>
                              </a:ext>
                            </a:extLst>
                          </xdr:cNvPr>
                          <xdr:cNvGrpSpPr/>
                        </xdr:nvGrpSpPr>
                        <xdr:grpSpPr>
                          <a:xfrm>
                            <a:off x="5530494" y="2671486"/>
                            <a:ext cx="3163119" cy="3366698"/>
                            <a:chOff x="6442367" y="3254309"/>
                            <a:chExt cx="3134969" cy="3366698"/>
                          </a:xfrm>
                        </xdr:grpSpPr>
                        <xdr:grpSp>
                          <xdr:nvGrpSpPr>
                            <xdr:cNvPr id="202" name="Group 201">
                              <a:extLst>
                                <a:ext uri="{FF2B5EF4-FFF2-40B4-BE49-F238E27FC236}">
                                  <a16:creationId xmlns:a16="http://schemas.microsoft.com/office/drawing/2014/main" id="{00000000-0008-0000-0D00-0000CA000000}"/>
                                </a:ext>
                              </a:extLst>
                            </xdr:cNvPr>
                            <xdr:cNvGrpSpPr/>
                          </xdr:nvGrpSpPr>
                          <xdr:grpSpPr>
                            <a:xfrm>
                              <a:off x="6442367" y="3254309"/>
                              <a:ext cx="3134969" cy="3366698"/>
                              <a:chOff x="6442367" y="3254309"/>
                              <a:chExt cx="3134969" cy="3366698"/>
                            </a:xfrm>
                          </xdr:grpSpPr>
                          <xdr:grpSp>
                            <xdr:nvGrpSpPr>
                              <xdr:cNvPr id="206" name="Group 205">
                                <a:extLst>
                                  <a:ext uri="{FF2B5EF4-FFF2-40B4-BE49-F238E27FC236}">
                                    <a16:creationId xmlns:a16="http://schemas.microsoft.com/office/drawing/2014/main" id="{00000000-0008-0000-0D00-0000CE000000}"/>
                                  </a:ext>
                                </a:extLst>
                              </xdr:cNvPr>
                              <xdr:cNvGrpSpPr/>
                            </xdr:nvGrpSpPr>
                            <xdr:grpSpPr>
                              <a:xfrm>
                                <a:off x="6442367" y="3254309"/>
                                <a:ext cx="3087536" cy="3366698"/>
                                <a:chOff x="10373593" y="3567909"/>
                                <a:chExt cx="2060624" cy="2633508"/>
                              </a:xfrm>
                            </xdr:grpSpPr>
                            <xdr:sp macro="" textlink="">
                              <xdr:nvSpPr>
                                <xdr:cNvPr id="210" name="Rectangle 209">
                                  <a:extLst>
                                    <a:ext uri="{FF2B5EF4-FFF2-40B4-BE49-F238E27FC236}">
                                      <a16:creationId xmlns:a16="http://schemas.microsoft.com/office/drawing/2014/main" id="{00000000-0008-0000-0D00-0000D2000000}"/>
                                    </a:ext>
                                  </a:extLst>
                                </xdr:cNvPr>
                                <xdr:cNvSpPr/>
                              </xdr:nvSpPr>
                              <xdr:spPr>
                                <a:xfrm>
                                  <a:off x="10373593" y="3567909"/>
                                  <a:ext cx="2060624" cy="2633508"/>
                                </a:xfrm>
                                <a:prstGeom prst="rect">
                                  <a:avLst/>
                                </a:prstGeom>
                                <a:solidFill>
                                  <a:sysClr val="window" lastClr="FFFFFF"/>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11" name="TextBox 210">
                                  <a:extLst>
                                    <a:ext uri="{FF2B5EF4-FFF2-40B4-BE49-F238E27FC236}">
                                      <a16:creationId xmlns:a16="http://schemas.microsoft.com/office/drawing/2014/main" id="{00000000-0008-0000-0D00-0000D3000000}"/>
                                    </a:ext>
                                  </a:extLst>
                                </xdr:cNvPr>
                                <xdr:cNvSpPr txBox="1"/>
                              </xdr:nvSpPr>
                              <xdr:spPr>
                                <a:xfrm>
                                  <a:off x="10380363" y="3575008"/>
                                  <a:ext cx="2053849" cy="2073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r>
                                    <a:rPr lang="en-US" sz="1100" b="0" i="0" u="none" strike="noStrike" baseline="0">
                                      <a:solidFill>
                                        <a:srgbClr val="000000"/>
                                      </a:solidFill>
                                      <a:latin typeface="Calibri"/>
                                    </a:rPr>
                                    <a:t>Traffic Signal Timing During RR Preemption</a:t>
                                  </a:r>
                                  <a:endParaRPr lang="en-US" sz="1100" b="0" i="0" u="none" strike="noStrike">
                                    <a:solidFill>
                                      <a:srgbClr val="000000"/>
                                    </a:solidFill>
                                    <a:latin typeface="Calibri"/>
                                  </a:endParaRPr>
                                </a:p>
                              </xdr:txBody>
                            </xdr:sp>
                          </xdr:grpSp>
                          <xdr:sp macro="" textlink="Other!M2">
                            <xdr:nvSpPr>
                              <xdr:cNvPr id="207" name="TextBox 206">
                                <a:extLst>
                                  <a:ext uri="{FF2B5EF4-FFF2-40B4-BE49-F238E27FC236}">
                                    <a16:creationId xmlns:a16="http://schemas.microsoft.com/office/drawing/2014/main" id="{00000000-0008-0000-0D00-0000CF000000}"/>
                                  </a:ext>
                                </a:extLst>
                              </xdr:cNvPr>
                              <xdr:cNvSpPr txBox="1"/>
                            </xdr:nvSpPr>
                            <xdr:spPr>
                              <a:xfrm>
                                <a:off x="8741505" y="3527171"/>
                                <a:ext cx="835831" cy="7870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fld id="{0B58B7A1-B97A-44C9-A3F3-623154E3BB34}" type="TxLink">
                                  <a:rPr lang="en-US" sz="1100" b="0" i="0" u="none" strike="noStrike">
                                    <a:solidFill>
                                      <a:srgbClr val="000000"/>
                                    </a:solidFill>
                                    <a:latin typeface="Calibri"/>
                                  </a:rPr>
                                  <a:pPr algn="ctr"/>
                                  <a:t>UDOT Form Values 1/0/00</a:t>
                                </a:fld>
                                <a:endParaRPr lang="en-US" sz="1100" b="0" i="0" u="none" strike="noStrike">
                                  <a:solidFill>
                                    <a:srgbClr val="000000"/>
                                  </a:solidFill>
                                  <a:latin typeface="Calibri"/>
                                </a:endParaRPr>
                              </a:p>
                            </xdr:txBody>
                          </xdr:sp>
                          <xdr:sp macro="" textlink="Other!U7">
                            <xdr:nvSpPr>
                              <xdr:cNvPr id="208" name="TextBox 207">
                                <a:extLst>
                                  <a:ext uri="{FF2B5EF4-FFF2-40B4-BE49-F238E27FC236}">
                                    <a16:creationId xmlns:a16="http://schemas.microsoft.com/office/drawing/2014/main" id="{00000000-0008-0000-0D00-0000D0000000}"/>
                                  </a:ext>
                                </a:extLst>
                              </xdr:cNvPr>
                              <xdr:cNvSpPr txBox="1"/>
                            </xdr:nvSpPr>
                            <xdr:spPr>
                              <a:xfrm>
                                <a:off x="8827880" y="4270468"/>
                                <a:ext cx="585529" cy="317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fld id="{6429BB7B-8753-4D31-8AB2-C82D1F31F68D}" type="TxLink">
                                  <a:rPr lang="en-US" sz="1100" b="0" i="0" u="none" strike="noStrike">
                                    <a:solidFill>
                                      <a:srgbClr val="000000"/>
                                    </a:solidFill>
                                    <a:latin typeface="Calibri"/>
                                  </a:rPr>
                                  <a:pPr algn="ctr"/>
                                  <a:t>0 sec</a:t>
                                </a:fld>
                                <a:endParaRPr lang="en-US" sz="1100" b="0" i="0" u="none" strike="noStrike">
                                  <a:solidFill>
                                    <a:srgbClr val="000000"/>
                                  </a:solidFill>
                                  <a:latin typeface="Calibri"/>
                                </a:endParaRPr>
                              </a:p>
                            </xdr:txBody>
                          </xdr:sp>
                          <xdr:sp macro="" textlink="Other!U8">
                            <xdr:nvSpPr>
                              <xdr:cNvPr id="209" name="TextBox 208">
                                <a:extLst>
                                  <a:ext uri="{FF2B5EF4-FFF2-40B4-BE49-F238E27FC236}">
                                    <a16:creationId xmlns:a16="http://schemas.microsoft.com/office/drawing/2014/main" id="{00000000-0008-0000-0D00-0000D1000000}"/>
                                  </a:ext>
                                </a:extLst>
                              </xdr:cNvPr>
                              <xdr:cNvSpPr txBox="1"/>
                            </xdr:nvSpPr>
                            <xdr:spPr>
                              <a:xfrm>
                                <a:off x="8835138" y="4494401"/>
                                <a:ext cx="585529" cy="317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fld id="{27D4C338-4B2F-4C00-8959-FBE68A845676}" type="TxLink">
                                  <a:rPr lang="en-US" sz="1100" b="0" i="0" u="none" strike="noStrike">
                                    <a:solidFill>
                                      <a:srgbClr val="000000"/>
                                    </a:solidFill>
                                    <a:latin typeface="Calibri"/>
                                  </a:rPr>
                                  <a:pPr algn="ctr"/>
                                  <a:t>14 sec</a:t>
                                </a:fld>
                                <a:endParaRPr lang="en-US" sz="1100" b="0" i="0" u="none" strike="noStrike">
                                  <a:solidFill>
                                    <a:srgbClr val="000000"/>
                                  </a:solidFill>
                                  <a:latin typeface="Calibri"/>
                                </a:endParaRPr>
                              </a:p>
                            </xdr:txBody>
                          </xdr:sp>
                        </xdr:grpSp>
                        <xdr:grpSp>
                          <xdr:nvGrpSpPr>
                            <xdr:cNvPr id="203" name="Group 202">
                              <a:extLst>
                                <a:ext uri="{FF2B5EF4-FFF2-40B4-BE49-F238E27FC236}">
                                  <a16:creationId xmlns:a16="http://schemas.microsoft.com/office/drawing/2014/main" id="{00000000-0008-0000-0D00-0000CB000000}"/>
                                </a:ext>
                              </a:extLst>
                            </xdr:cNvPr>
                            <xdr:cNvGrpSpPr/>
                          </xdr:nvGrpSpPr>
                          <xdr:grpSpPr>
                            <a:xfrm>
                              <a:off x="6481684" y="4270468"/>
                              <a:ext cx="976066" cy="541006"/>
                              <a:chOff x="6481684" y="4270468"/>
                              <a:chExt cx="976066" cy="541006"/>
                            </a:xfrm>
                          </xdr:grpSpPr>
                          <xdr:sp macro="" textlink="">
                            <xdr:nvSpPr>
                              <xdr:cNvPr id="204" name="TextBox 203">
                                <a:extLst>
                                  <a:ext uri="{FF2B5EF4-FFF2-40B4-BE49-F238E27FC236}">
                                    <a16:creationId xmlns:a16="http://schemas.microsoft.com/office/drawing/2014/main" id="{00000000-0008-0000-0D00-0000CC000000}"/>
                                  </a:ext>
                                </a:extLst>
                              </xdr:cNvPr>
                              <xdr:cNvSpPr txBox="1"/>
                            </xdr:nvSpPr>
                            <xdr:spPr>
                              <a:xfrm>
                                <a:off x="6487932" y="4270468"/>
                                <a:ext cx="969818" cy="317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l"/>
                                <a:r>
                                  <a:rPr lang="en-US" sz="1100" b="0" i="0" u="none" strike="noStrike">
                                    <a:solidFill>
                                      <a:srgbClr val="000000"/>
                                    </a:solidFill>
                                    <a:latin typeface="Calibri"/>
                                  </a:rPr>
                                  <a:t>Preempt Delay</a:t>
                                </a:r>
                              </a:p>
                            </xdr:txBody>
                          </xdr:sp>
                          <xdr:sp macro="" textlink="">
                            <xdr:nvSpPr>
                              <xdr:cNvPr id="205" name="TextBox 204">
                                <a:extLst>
                                  <a:ext uri="{FF2B5EF4-FFF2-40B4-BE49-F238E27FC236}">
                                    <a16:creationId xmlns:a16="http://schemas.microsoft.com/office/drawing/2014/main" id="{00000000-0008-0000-0D00-0000CD000000}"/>
                                  </a:ext>
                                </a:extLst>
                              </xdr:cNvPr>
                              <xdr:cNvSpPr txBox="1"/>
                            </xdr:nvSpPr>
                            <xdr:spPr>
                              <a:xfrm>
                                <a:off x="6481684" y="4494401"/>
                                <a:ext cx="969818" cy="3170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l"/>
                                <a:r>
                                  <a:rPr lang="en-US" sz="1100" b="0" i="0" u="none" strike="noStrike">
                                    <a:solidFill>
                                      <a:srgbClr val="000000"/>
                                    </a:solidFill>
                                    <a:latin typeface="Calibri"/>
                                  </a:rPr>
                                  <a:t>TCG</a:t>
                                </a:r>
                              </a:p>
                            </xdr:txBody>
                          </xdr:sp>
                        </xdr:grpSp>
                      </xdr:grpSp>
                      <xdr:cxnSp macro="">
                        <xdr:nvCxnSpPr>
                          <xdr:cNvPr id="201" name="Straight Connector 200">
                            <a:extLst>
                              <a:ext uri="{FF2B5EF4-FFF2-40B4-BE49-F238E27FC236}">
                                <a16:creationId xmlns:a16="http://schemas.microsoft.com/office/drawing/2014/main" id="{00000000-0008-0000-0D00-0000C9000000}"/>
                              </a:ext>
                            </a:extLst>
                          </xdr:cNvPr>
                          <xdr:cNvCxnSpPr/>
                        </xdr:nvCxnSpPr>
                        <xdr:spPr>
                          <a:xfrm flipV="1">
                            <a:off x="5528266" y="2950039"/>
                            <a:ext cx="3116503" cy="0"/>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grpSp>
                    <xdr:sp macro="" textlink="Other!V7">
                      <xdr:nvSpPr>
                        <xdr:cNvPr id="198" name="TextBox 197">
                          <a:extLst>
                            <a:ext uri="{FF2B5EF4-FFF2-40B4-BE49-F238E27FC236}">
                              <a16:creationId xmlns:a16="http://schemas.microsoft.com/office/drawing/2014/main" id="{00000000-0008-0000-0D00-0000C6000000}"/>
                            </a:ext>
                          </a:extLst>
                        </xdr:cNvPr>
                        <xdr:cNvSpPr txBox="1"/>
                      </xdr:nvSpPr>
                      <xdr:spPr>
                        <a:xfrm>
                          <a:off x="2415724" y="5278329"/>
                          <a:ext cx="636962" cy="2135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fld id="{BB05FD7D-5A53-48F2-9896-C3100152EC98}" type="TxLink">
                            <a:rPr lang="en-US" sz="1100" b="0" i="0" u="none" strike="noStrike">
                              <a:solidFill>
                                <a:srgbClr val="000000"/>
                              </a:solidFill>
                              <a:latin typeface="Calibri"/>
                            </a:rPr>
                            <a:pPr algn="ctr"/>
                            <a:t>0 sec</a:t>
                          </a:fld>
                          <a:endParaRPr lang="en-US" sz="1100" b="0" i="0" u="none" strike="noStrike">
                            <a:solidFill>
                              <a:srgbClr val="000000"/>
                            </a:solidFill>
                            <a:latin typeface="Calibri"/>
                          </a:endParaRPr>
                        </a:p>
                      </xdr:txBody>
                    </xdr:sp>
                    <xdr:sp macro="" textlink="Other!V8">
                      <xdr:nvSpPr>
                        <xdr:cNvPr id="199" name="TextBox 198">
                          <a:extLst>
                            <a:ext uri="{FF2B5EF4-FFF2-40B4-BE49-F238E27FC236}">
                              <a16:creationId xmlns:a16="http://schemas.microsoft.com/office/drawing/2014/main" id="{00000000-0008-0000-0D00-0000C7000000}"/>
                            </a:ext>
                          </a:extLst>
                        </xdr:cNvPr>
                        <xdr:cNvSpPr txBox="1"/>
                      </xdr:nvSpPr>
                      <xdr:spPr>
                        <a:xfrm>
                          <a:off x="2423045" y="5429142"/>
                          <a:ext cx="618605" cy="2135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fld id="{3D0A5ACC-428E-4949-85DA-40AE2643B180}" type="TxLink">
                            <a:rPr lang="en-US" sz="1100" b="0" i="0" u="none" strike="noStrike">
                              <a:solidFill>
                                <a:srgbClr val="000000"/>
                              </a:solidFill>
                              <a:latin typeface="Calibri"/>
                            </a:rPr>
                            <a:pPr algn="ctr"/>
                            <a:t>20 sec</a:t>
                          </a:fld>
                          <a:endParaRPr lang="en-US" sz="1100" b="0" i="0" u="none" strike="noStrike">
                            <a:solidFill>
                              <a:srgbClr val="000000"/>
                            </a:solidFill>
                            <a:latin typeface="Calibri"/>
                          </a:endParaRPr>
                        </a:p>
                      </xdr:txBody>
                    </xdr:sp>
                  </xdr:grpSp>
                  <xdr:cxnSp macro="">
                    <xdr:nvCxnSpPr>
                      <xdr:cNvPr id="196" name="Straight Connector 195">
                        <a:extLst>
                          <a:ext uri="{FF2B5EF4-FFF2-40B4-BE49-F238E27FC236}">
                            <a16:creationId xmlns:a16="http://schemas.microsoft.com/office/drawing/2014/main" id="{00000000-0008-0000-0D00-0000C4000000}"/>
                          </a:ext>
                        </a:extLst>
                      </xdr:cNvPr>
                      <xdr:cNvCxnSpPr/>
                    </xdr:nvCxnSpPr>
                    <xdr:spPr>
                      <a:xfrm flipV="1">
                        <a:off x="1471995" y="5279855"/>
                        <a:ext cx="3115756" cy="0"/>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grpSp>
                <xdr:cxnSp macro="">
                  <xdr:nvCxnSpPr>
                    <xdr:cNvPr id="193" name="Straight Connector 192">
                      <a:extLst>
                        <a:ext uri="{FF2B5EF4-FFF2-40B4-BE49-F238E27FC236}">
                          <a16:creationId xmlns:a16="http://schemas.microsoft.com/office/drawing/2014/main" id="{00000000-0008-0000-0D00-0000C1000000}"/>
                        </a:ext>
                      </a:extLst>
                    </xdr:cNvPr>
                    <xdr:cNvCxnSpPr/>
                  </xdr:nvCxnSpPr>
                  <xdr:spPr>
                    <a:xfrm flipV="1">
                      <a:off x="2388272" y="3928748"/>
                      <a:ext cx="0" cy="1807445"/>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94" name="Straight Connector 193">
                      <a:extLst>
                        <a:ext uri="{FF2B5EF4-FFF2-40B4-BE49-F238E27FC236}">
                          <a16:creationId xmlns:a16="http://schemas.microsoft.com/office/drawing/2014/main" id="{00000000-0008-0000-0D00-0000C2000000}"/>
                        </a:ext>
                      </a:extLst>
                    </xdr:cNvPr>
                    <xdr:cNvCxnSpPr/>
                  </xdr:nvCxnSpPr>
                  <xdr:spPr>
                    <a:xfrm flipV="1">
                      <a:off x="3032808" y="3921287"/>
                      <a:ext cx="0" cy="1815071"/>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grpSp>
              <xdr:sp macro="" textlink="Other!V3">
                <xdr:nvSpPr>
                  <xdr:cNvPr id="191" name="TextBox 190">
                    <a:extLst>
                      <a:ext uri="{FF2B5EF4-FFF2-40B4-BE49-F238E27FC236}">
                        <a16:creationId xmlns:a16="http://schemas.microsoft.com/office/drawing/2014/main" id="{00000000-0008-0000-0D00-0000BF000000}"/>
                      </a:ext>
                    </a:extLst>
                  </xdr:cNvPr>
                  <xdr:cNvSpPr txBox="1"/>
                </xdr:nvSpPr>
                <xdr:spPr>
                  <a:xfrm>
                    <a:off x="7765057" y="4924356"/>
                    <a:ext cx="666045" cy="4513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fld id="{F79A5A8A-D580-4F3D-829F-13D31A8D41C5}" type="TxLink">
                      <a:rPr lang="en-US" sz="1100" b="0" i="0" u="none" strike="noStrike">
                        <a:solidFill>
                          <a:srgbClr val="000000"/>
                        </a:solidFill>
                        <a:latin typeface="Calibri"/>
                      </a:rPr>
                      <a:pPr algn="ctr"/>
                      <a:t>Existing 1/1/00</a:t>
                    </a:fld>
                    <a:endParaRPr lang="en-US" sz="1100" b="0" i="0" u="none" strike="noStrike">
                      <a:solidFill>
                        <a:srgbClr val="000000"/>
                      </a:solidFill>
                      <a:latin typeface="Calibri"/>
                    </a:endParaRPr>
                  </a:p>
                </xdr:txBody>
              </xdr:sp>
            </xdr:grpSp>
            <xdr:sp macro="" textlink="">
              <xdr:nvSpPr>
                <xdr:cNvPr id="173" name="TextBox 172">
                  <a:extLst>
                    <a:ext uri="{FF2B5EF4-FFF2-40B4-BE49-F238E27FC236}">
                      <a16:creationId xmlns:a16="http://schemas.microsoft.com/office/drawing/2014/main" id="{00000000-0008-0000-0D00-0000AD000000}"/>
                    </a:ext>
                  </a:extLst>
                </xdr:cNvPr>
                <xdr:cNvSpPr txBox="1"/>
              </xdr:nvSpPr>
              <xdr:spPr>
                <a:xfrm>
                  <a:off x="5840445" y="4667983"/>
                  <a:ext cx="1627635" cy="2560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l"/>
                  <a:r>
                    <a:rPr lang="en-US" sz="1100" b="0" i="0" u="none" strike="noStrike">
                      <a:solidFill>
                        <a:srgbClr val="000000"/>
                      </a:solidFill>
                      <a:latin typeface="Calibri"/>
                    </a:rPr>
                    <a:t>Min Green</a:t>
                  </a:r>
                </a:p>
              </xdr:txBody>
            </xdr:sp>
            <xdr:sp macro="" textlink="Other!U13">
              <xdr:nvSpPr>
                <xdr:cNvPr id="174" name="TextBox 173">
                  <a:extLst>
                    <a:ext uri="{FF2B5EF4-FFF2-40B4-BE49-F238E27FC236}">
                      <a16:creationId xmlns:a16="http://schemas.microsoft.com/office/drawing/2014/main" id="{00000000-0008-0000-0D00-0000AE000000}"/>
                    </a:ext>
                  </a:extLst>
                </xdr:cNvPr>
                <xdr:cNvSpPr txBox="1"/>
              </xdr:nvSpPr>
              <xdr:spPr>
                <a:xfrm>
                  <a:off x="8195289" y="4660371"/>
                  <a:ext cx="591090" cy="256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fld id="{20944A67-3892-46DC-9451-6129E3BCAF63}" type="TxLink">
                    <a:rPr lang="en-US" sz="1100" b="0" i="0" u="none" strike="noStrike">
                      <a:solidFill>
                        <a:srgbClr val="000000"/>
                      </a:solidFill>
                      <a:latin typeface="Calibri"/>
                    </a:rPr>
                    <a:pPr algn="ctr"/>
                    <a:t>0 sec</a:t>
                  </a:fld>
                  <a:endParaRPr lang="en-US" sz="1100" b="0" i="0" u="none" strike="noStrike">
                    <a:solidFill>
                      <a:srgbClr val="000000"/>
                    </a:solidFill>
                    <a:latin typeface="Calibri"/>
                  </a:endParaRPr>
                </a:p>
              </xdr:txBody>
            </xdr:sp>
            <xdr:sp macro="" textlink="Other!V13">
              <xdr:nvSpPr>
                <xdr:cNvPr id="175" name="TextBox 174">
                  <a:extLst>
                    <a:ext uri="{FF2B5EF4-FFF2-40B4-BE49-F238E27FC236}">
                      <a16:creationId xmlns:a16="http://schemas.microsoft.com/office/drawing/2014/main" id="{00000000-0008-0000-0D00-0000AF000000}"/>
                    </a:ext>
                  </a:extLst>
                </xdr:cNvPr>
                <xdr:cNvSpPr txBox="1"/>
              </xdr:nvSpPr>
              <xdr:spPr>
                <a:xfrm>
                  <a:off x="7539843" y="4659051"/>
                  <a:ext cx="635708" cy="256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fld id="{007D11FE-66FC-4040-B310-D1B3717E1AF9}" type="TxLink">
                    <a:rPr lang="en-US" sz="1100" b="0" i="0" u="none" strike="noStrike">
                      <a:solidFill>
                        <a:srgbClr val="000000"/>
                      </a:solidFill>
                      <a:latin typeface="Calibri"/>
                    </a:rPr>
                    <a:pPr algn="ctr"/>
                    <a:t>0 sec</a:t>
                  </a:fld>
                  <a:endParaRPr lang="en-US" sz="1100" b="0" i="0" u="none" strike="noStrike">
                    <a:solidFill>
                      <a:srgbClr val="000000"/>
                    </a:solidFill>
                    <a:latin typeface="Calibri"/>
                  </a:endParaRPr>
                </a:p>
              </xdr:txBody>
            </xdr:sp>
            <xdr:sp macro="" textlink="">
              <xdr:nvSpPr>
                <xdr:cNvPr id="176" name="TextBox 175">
                  <a:extLst>
                    <a:ext uri="{FF2B5EF4-FFF2-40B4-BE49-F238E27FC236}">
                      <a16:creationId xmlns:a16="http://schemas.microsoft.com/office/drawing/2014/main" id="{00000000-0008-0000-0D00-0000B0000000}"/>
                    </a:ext>
                  </a:extLst>
                </xdr:cNvPr>
                <xdr:cNvSpPr txBox="1"/>
              </xdr:nvSpPr>
              <xdr:spPr>
                <a:xfrm>
                  <a:off x="5841017" y="4860436"/>
                  <a:ext cx="1627635" cy="2560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l"/>
                  <a:r>
                    <a:rPr lang="en-US" sz="1100" b="0" i="0" u="none" strike="noStrike">
                      <a:solidFill>
                        <a:srgbClr val="000000"/>
                      </a:solidFill>
                      <a:latin typeface="Calibri"/>
                    </a:rPr>
                    <a:t>Yellow Change Time*</a:t>
                  </a:r>
                </a:p>
              </xdr:txBody>
            </xdr:sp>
            <xdr:sp macro="" textlink="Other!U14">
              <xdr:nvSpPr>
                <xdr:cNvPr id="177" name="TextBox 176">
                  <a:extLst>
                    <a:ext uri="{FF2B5EF4-FFF2-40B4-BE49-F238E27FC236}">
                      <a16:creationId xmlns:a16="http://schemas.microsoft.com/office/drawing/2014/main" id="{00000000-0008-0000-0D00-0000B1000000}"/>
                    </a:ext>
                  </a:extLst>
                </xdr:cNvPr>
                <xdr:cNvSpPr txBox="1"/>
              </xdr:nvSpPr>
              <xdr:spPr>
                <a:xfrm>
                  <a:off x="8208476" y="4852824"/>
                  <a:ext cx="591090" cy="256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fld id="{2BC65801-AD9A-48F8-8E34-8CDB9F44BA26}" type="TxLink">
                    <a:rPr lang="en-US" sz="1100" b="0" i="0" u="none" strike="noStrike">
                      <a:solidFill>
                        <a:srgbClr val="000000"/>
                      </a:solidFill>
                      <a:latin typeface="Calibri"/>
                    </a:rPr>
                    <a:pPr algn="ctr"/>
                    <a:t>0 sec</a:t>
                  </a:fld>
                  <a:endParaRPr lang="en-US" sz="1100" b="0" i="0" u="none" strike="noStrike">
                    <a:solidFill>
                      <a:srgbClr val="000000"/>
                    </a:solidFill>
                    <a:latin typeface="Calibri"/>
                  </a:endParaRPr>
                </a:p>
              </xdr:txBody>
            </xdr:sp>
            <xdr:sp macro="" textlink="Other!V14">
              <xdr:nvSpPr>
                <xdr:cNvPr id="178" name="TextBox 177">
                  <a:extLst>
                    <a:ext uri="{FF2B5EF4-FFF2-40B4-BE49-F238E27FC236}">
                      <a16:creationId xmlns:a16="http://schemas.microsoft.com/office/drawing/2014/main" id="{00000000-0008-0000-0D00-0000B2000000}"/>
                    </a:ext>
                  </a:extLst>
                </xdr:cNvPr>
                <xdr:cNvSpPr txBox="1"/>
              </xdr:nvSpPr>
              <xdr:spPr>
                <a:xfrm>
                  <a:off x="7538107" y="4851504"/>
                  <a:ext cx="630115" cy="256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fld id="{9B0C41AB-5A2D-415A-A0D1-185D50C0D7DD}" type="TxLink">
                    <a:rPr lang="en-US" sz="1100" b="0" i="0" u="none" strike="noStrike">
                      <a:solidFill>
                        <a:srgbClr val="000000"/>
                      </a:solidFill>
                      <a:latin typeface="Calibri"/>
                    </a:rPr>
                    <a:pPr algn="ctr"/>
                    <a:t>6 sec</a:t>
                  </a:fld>
                  <a:endParaRPr lang="en-US" sz="1100" b="0" i="0" u="none" strike="noStrike">
                    <a:solidFill>
                      <a:srgbClr val="000000"/>
                    </a:solidFill>
                    <a:latin typeface="Calibri"/>
                  </a:endParaRPr>
                </a:p>
              </xdr:txBody>
            </xdr:sp>
            <xdr:sp macro="" textlink="">
              <xdr:nvSpPr>
                <xdr:cNvPr id="179" name="TextBox 178">
                  <a:extLst>
                    <a:ext uri="{FF2B5EF4-FFF2-40B4-BE49-F238E27FC236}">
                      <a16:creationId xmlns:a16="http://schemas.microsoft.com/office/drawing/2014/main" id="{00000000-0008-0000-0D00-0000B3000000}"/>
                    </a:ext>
                  </a:extLst>
                </xdr:cNvPr>
                <xdr:cNvSpPr txBox="1"/>
              </xdr:nvSpPr>
              <xdr:spPr>
                <a:xfrm>
                  <a:off x="5846879" y="5055821"/>
                  <a:ext cx="1627635" cy="2560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l"/>
                  <a:r>
                    <a:rPr lang="en-US" sz="1100" b="0" i="0" u="none" strike="noStrike">
                      <a:solidFill>
                        <a:srgbClr val="000000"/>
                      </a:solidFill>
                      <a:latin typeface="Calibri"/>
                    </a:rPr>
                    <a:t>Red Clearance Time*</a:t>
                  </a:r>
                </a:p>
              </xdr:txBody>
            </xdr:sp>
            <xdr:sp macro="" textlink="Other!U15">
              <xdr:nvSpPr>
                <xdr:cNvPr id="180" name="TextBox 179">
                  <a:extLst>
                    <a:ext uri="{FF2B5EF4-FFF2-40B4-BE49-F238E27FC236}">
                      <a16:creationId xmlns:a16="http://schemas.microsoft.com/office/drawing/2014/main" id="{00000000-0008-0000-0D00-0000B4000000}"/>
                    </a:ext>
                  </a:extLst>
                </xdr:cNvPr>
                <xdr:cNvSpPr txBox="1"/>
              </xdr:nvSpPr>
              <xdr:spPr>
                <a:xfrm>
                  <a:off x="8214338" y="5048209"/>
                  <a:ext cx="591090" cy="256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fld id="{58AB086C-5E8F-4862-9E1A-FBF42355F0F2}" type="TxLink">
                    <a:rPr lang="en-US" sz="1100" b="0" i="0" u="none" strike="noStrike">
                      <a:solidFill>
                        <a:srgbClr val="000000"/>
                      </a:solidFill>
                      <a:latin typeface="Calibri"/>
                    </a:rPr>
                    <a:pPr algn="ctr"/>
                    <a:t>0 sec</a:t>
                  </a:fld>
                  <a:endParaRPr lang="en-US" sz="1100" b="0" i="0" u="none" strike="noStrike">
                    <a:solidFill>
                      <a:srgbClr val="000000"/>
                    </a:solidFill>
                    <a:latin typeface="Calibri"/>
                  </a:endParaRPr>
                </a:p>
              </xdr:txBody>
            </xdr:sp>
            <xdr:sp macro="" textlink="Other!V15">
              <xdr:nvSpPr>
                <xdr:cNvPr id="181" name="TextBox 180">
                  <a:extLst>
                    <a:ext uri="{FF2B5EF4-FFF2-40B4-BE49-F238E27FC236}">
                      <a16:creationId xmlns:a16="http://schemas.microsoft.com/office/drawing/2014/main" id="{00000000-0008-0000-0D00-0000B5000000}"/>
                    </a:ext>
                  </a:extLst>
                </xdr:cNvPr>
                <xdr:cNvSpPr txBox="1"/>
              </xdr:nvSpPr>
              <xdr:spPr>
                <a:xfrm>
                  <a:off x="7530781" y="5046889"/>
                  <a:ext cx="637442" cy="256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fld id="{A16F54B9-C420-4B6D-A2BC-2224A52857DC}" type="TxLink">
                    <a:rPr lang="en-US" sz="1100" b="0" i="0" u="none" strike="noStrike">
                      <a:solidFill>
                        <a:srgbClr val="000000"/>
                      </a:solidFill>
                      <a:latin typeface="Calibri"/>
                    </a:rPr>
                    <a:pPr algn="ctr"/>
                    <a:t>2 sec</a:t>
                  </a:fld>
                  <a:endParaRPr lang="en-US" sz="1100" b="0" i="0" u="none" strike="noStrike">
                    <a:solidFill>
                      <a:srgbClr val="000000"/>
                    </a:solidFill>
                    <a:latin typeface="Calibri"/>
                  </a:endParaRPr>
                </a:p>
              </xdr:txBody>
            </xdr:sp>
            <xdr:sp macro="" textlink="Other!U16">
              <xdr:nvSpPr>
                <xdr:cNvPr id="182" name="TextBox 181">
                  <a:extLst>
                    <a:ext uri="{FF2B5EF4-FFF2-40B4-BE49-F238E27FC236}">
                      <a16:creationId xmlns:a16="http://schemas.microsoft.com/office/drawing/2014/main" id="{00000000-0008-0000-0D00-0000B6000000}"/>
                    </a:ext>
                  </a:extLst>
                </xdr:cNvPr>
                <xdr:cNvSpPr txBox="1"/>
              </xdr:nvSpPr>
              <xdr:spPr>
                <a:xfrm>
                  <a:off x="8212874" y="5229916"/>
                  <a:ext cx="591090" cy="256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fld id="{C9EAA8A3-23B2-4FA4-9298-795DF18A832F}" type="TxLink">
                    <a:rPr lang="en-US" sz="1100" b="0" i="0" u="none" strike="noStrike">
                      <a:solidFill>
                        <a:srgbClr val="000000"/>
                      </a:solidFill>
                      <a:latin typeface="Calibri"/>
                    </a:rPr>
                    <a:pPr algn="ctr"/>
                    <a:t>0 sec</a:t>
                  </a:fld>
                  <a:endParaRPr lang="en-US" sz="1100" b="0" i="0" u="none" strike="noStrike">
                    <a:solidFill>
                      <a:srgbClr val="000000"/>
                    </a:solidFill>
                    <a:latin typeface="Calibri"/>
                  </a:endParaRPr>
                </a:p>
              </xdr:txBody>
            </xdr:sp>
            <xdr:sp macro="" textlink="Other!V16">
              <xdr:nvSpPr>
                <xdr:cNvPr id="183" name="TextBox 182">
                  <a:extLst>
                    <a:ext uri="{FF2B5EF4-FFF2-40B4-BE49-F238E27FC236}">
                      <a16:creationId xmlns:a16="http://schemas.microsoft.com/office/drawing/2014/main" id="{00000000-0008-0000-0D00-0000B7000000}"/>
                    </a:ext>
                  </a:extLst>
                </xdr:cNvPr>
                <xdr:cNvSpPr txBox="1"/>
              </xdr:nvSpPr>
              <xdr:spPr>
                <a:xfrm>
                  <a:off x="7530780" y="5228596"/>
                  <a:ext cx="644769" cy="256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fld id="{4FD10AB3-E4DF-49B8-B1D6-B013E9D678A0}" type="TxLink">
                    <a:rPr lang="en-US" sz="1100" b="0" i="0" u="none" strike="noStrike">
                      <a:solidFill>
                        <a:srgbClr val="000000"/>
                      </a:solidFill>
                      <a:latin typeface="Calibri"/>
                    </a:rPr>
                    <a:pPr algn="ctr"/>
                    <a:t>0 sec</a:t>
                  </a:fld>
                  <a:endParaRPr lang="en-US" sz="1100" b="0" i="0" u="none" strike="noStrike">
                    <a:solidFill>
                      <a:srgbClr val="000000"/>
                    </a:solidFill>
                    <a:latin typeface="Calibri"/>
                  </a:endParaRPr>
                </a:p>
              </xdr:txBody>
            </xdr:sp>
            <xdr:sp macro="" textlink="">
              <xdr:nvSpPr>
                <xdr:cNvPr id="184" name="TextBox 183">
                  <a:extLst>
                    <a:ext uri="{FF2B5EF4-FFF2-40B4-BE49-F238E27FC236}">
                      <a16:creationId xmlns:a16="http://schemas.microsoft.com/office/drawing/2014/main" id="{00000000-0008-0000-0D00-0000B8000000}"/>
                    </a:ext>
                  </a:extLst>
                </xdr:cNvPr>
                <xdr:cNvSpPr txBox="1"/>
              </xdr:nvSpPr>
              <xdr:spPr>
                <a:xfrm>
                  <a:off x="5843949" y="5433890"/>
                  <a:ext cx="1627635" cy="2560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l"/>
                  <a:r>
                    <a:rPr lang="en-US" sz="1100" b="0" i="0" u="none" strike="noStrike">
                      <a:solidFill>
                        <a:srgbClr val="000000"/>
                      </a:solidFill>
                      <a:latin typeface="Calibri"/>
                    </a:rPr>
                    <a:t>Ped Clearance</a:t>
                  </a:r>
                  <a:r>
                    <a:rPr lang="en-US" sz="1100" b="0" i="0" u="none" strike="noStrike" baseline="0">
                      <a:solidFill>
                        <a:srgbClr val="000000"/>
                      </a:solidFill>
                      <a:latin typeface="Calibri"/>
                    </a:rPr>
                    <a:t> Time</a:t>
                  </a:r>
                  <a:endParaRPr lang="en-US" sz="1100" b="0" i="0" u="none" strike="noStrike">
                    <a:solidFill>
                      <a:srgbClr val="000000"/>
                    </a:solidFill>
                    <a:latin typeface="Calibri"/>
                  </a:endParaRPr>
                </a:p>
              </xdr:txBody>
            </xdr:sp>
            <xdr:sp macro="" textlink="Other!U17">
              <xdr:nvSpPr>
                <xdr:cNvPr id="185" name="TextBox 184">
                  <a:extLst>
                    <a:ext uri="{FF2B5EF4-FFF2-40B4-BE49-F238E27FC236}">
                      <a16:creationId xmlns:a16="http://schemas.microsoft.com/office/drawing/2014/main" id="{00000000-0008-0000-0D00-0000B9000000}"/>
                    </a:ext>
                  </a:extLst>
                </xdr:cNvPr>
                <xdr:cNvSpPr txBox="1"/>
              </xdr:nvSpPr>
              <xdr:spPr>
                <a:xfrm>
                  <a:off x="8211409" y="5426278"/>
                  <a:ext cx="591090" cy="256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fld id="{6E85EBC6-46AE-483E-B9DF-E32BE053C961}" type="TxLink">
                    <a:rPr lang="en-US" sz="1100" b="0" i="0" u="none" strike="noStrike">
                      <a:solidFill>
                        <a:srgbClr val="000000"/>
                      </a:solidFill>
                      <a:latin typeface="Calibri"/>
                    </a:rPr>
                    <a:pPr algn="ctr"/>
                    <a:t>0 sec</a:t>
                  </a:fld>
                  <a:endParaRPr lang="en-US" sz="1100" b="0" i="0" u="none" strike="noStrike">
                    <a:solidFill>
                      <a:srgbClr val="000000"/>
                    </a:solidFill>
                    <a:latin typeface="Calibri"/>
                  </a:endParaRPr>
                </a:p>
              </xdr:txBody>
            </xdr:sp>
            <xdr:sp macro="" textlink="Other!V17">
              <xdr:nvSpPr>
                <xdr:cNvPr id="186" name="TextBox 185">
                  <a:extLst>
                    <a:ext uri="{FF2B5EF4-FFF2-40B4-BE49-F238E27FC236}">
                      <a16:creationId xmlns:a16="http://schemas.microsoft.com/office/drawing/2014/main" id="{00000000-0008-0000-0D00-0000BA000000}"/>
                    </a:ext>
                  </a:extLst>
                </xdr:cNvPr>
                <xdr:cNvSpPr txBox="1"/>
              </xdr:nvSpPr>
              <xdr:spPr>
                <a:xfrm>
                  <a:off x="7530781" y="5424958"/>
                  <a:ext cx="637442" cy="256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fld id="{10EC371C-DDD4-4C45-A001-27C5AC3A7B0B}" type="TxLink">
                    <a:rPr lang="en-US" sz="1100" b="0" i="0" u="none" strike="noStrike">
                      <a:solidFill>
                        <a:srgbClr val="000000"/>
                      </a:solidFill>
                      <a:latin typeface="Calibri"/>
                    </a:rPr>
                    <a:pPr algn="ctr"/>
                    <a:t>3 sec</a:t>
                  </a:fld>
                  <a:endParaRPr lang="en-US" sz="1100" b="0" i="0" u="none" strike="noStrike">
                    <a:solidFill>
                      <a:srgbClr val="000000"/>
                    </a:solidFill>
                    <a:latin typeface="Calibri"/>
                  </a:endParaRPr>
                </a:p>
              </xdr:txBody>
            </xdr:sp>
            <xdr:sp macro="" textlink="">
              <xdr:nvSpPr>
                <xdr:cNvPr id="187" name="TextBox 186">
                  <a:extLst>
                    <a:ext uri="{FF2B5EF4-FFF2-40B4-BE49-F238E27FC236}">
                      <a16:creationId xmlns:a16="http://schemas.microsoft.com/office/drawing/2014/main" id="{00000000-0008-0000-0D00-0000BB000000}"/>
                    </a:ext>
                  </a:extLst>
                </xdr:cNvPr>
                <xdr:cNvSpPr txBox="1"/>
              </xdr:nvSpPr>
              <xdr:spPr>
                <a:xfrm>
                  <a:off x="5842481" y="5630253"/>
                  <a:ext cx="1627635" cy="2560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l"/>
                  <a:r>
                    <a:rPr lang="en-US" sz="1100" b="0" i="0" u="none" strike="noStrike">
                      <a:solidFill>
                        <a:srgbClr val="000000"/>
                      </a:solidFill>
                      <a:latin typeface="Calibri"/>
                    </a:rPr>
                    <a:t>ROW Transfer Time</a:t>
                  </a:r>
                </a:p>
              </xdr:txBody>
            </xdr:sp>
            <xdr:sp macro="" textlink="Other!U18">
              <xdr:nvSpPr>
                <xdr:cNvPr id="188" name="TextBox 187">
                  <a:extLst>
                    <a:ext uri="{FF2B5EF4-FFF2-40B4-BE49-F238E27FC236}">
                      <a16:creationId xmlns:a16="http://schemas.microsoft.com/office/drawing/2014/main" id="{00000000-0008-0000-0D00-0000BC000000}"/>
                    </a:ext>
                  </a:extLst>
                </xdr:cNvPr>
                <xdr:cNvSpPr txBox="1"/>
              </xdr:nvSpPr>
              <xdr:spPr>
                <a:xfrm>
                  <a:off x="8209942" y="5613116"/>
                  <a:ext cx="591090" cy="256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fld id="{67B32777-3840-46DF-AB13-840FB7E8FD9E}" type="TxLink">
                    <a:rPr lang="en-US" sz="1100" b="0" i="0" u="none" strike="noStrike">
                      <a:solidFill>
                        <a:srgbClr val="000000"/>
                      </a:solidFill>
                      <a:latin typeface="Calibri"/>
                    </a:rPr>
                    <a:pPr algn="ctr"/>
                    <a:t>0 sec</a:t>
                  </a:fld>
                  <a:endParaRPr lang="en-US" sz="1100" b="0" i="0" u="none" strike="noStrike">
                    <a:solidFill>
                      <a:srgbClr val="000000"/>
                    </a:solidFill>
                    <a:latin typeface="Calibri"/>
                  </a:endParaRPr>
                </a:p>
              </xdr:txBody>
            </xdr:sp>
            <xdr:sp macro="" textlink="Other!V18">
              <xdr:nvSpPr>
                <xdr:cNvPr id="189" name="TextBox 188">
                  <a:extLst>
                    <a:ext uri="{FF2B5EF4-FFF2-40B4-BE49-F238E27FC236}">
                      <a16:creationId xmlns:a16="http://schemas.microsoft.com/office/drawing/2014/main" id="{00000000-0008-0000-0D00-0000BD000000}"/>
                    </a:ext>
                  </a:extLst>
                </xdr:cNvPr>
                <xdr:cNvSpPr txBox="1"/>
              </xdr:nvSpPr>
              <xdr:spPr>
                <a:xfrm>
                  <a:off x="7538108" y="5621320"/>
                  <a:ext cx="637442" cy="256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fld id="{995366C8-5A97-4D94-BD7C-89CB44BBD473}" type="TxLink">
                    <a:rPr lang="en-US" sz="1100" b="0" i="0" u="none" strike="noStrike">
                      <a:solidFill>
                        <a:srgbClr val="000000"/>
                      </a:solidFill>
                      <a:latin typeface="Calibri"/>
                    </a:rPr>
                    <a:pPr algn="ctr"/>
                    <a:t>11 sec</a:t>
                  </a:fld>
                  <a:endParaRPr lang="en-US" sz="1100" b="0" i="0" u="none" strike="noStrike">
                    <a:solidFill>
                      <a:srgbClr val="000000"/>
                    </a:solidFill>
                    <a:latin typeface="Calibri"/>
                  </a:endParaRPr>
                </a:p>
              </xdr:txBody>
            </xdr:sp>
          </xdr:grpSp>
          <xdr:sp macro="" textlink="">
            <xdr:nvSpPr>
              <xdr:cNvPr id="171" name="TextBox 170">
                <a:extLst>
                  <a:ext uri="{FF2B5EF4-FFF2-40B4-BE49-F238E27FC236}">
                    <a16:creationId xmlns:a16="http://schemas.microsoft.com/office/drawing/2014/main" id="{00000000-0008-0000-0D00-0000AB000000}"/>
                  </a:ext>
                </a:extLst>
              </xdr:cNvPr>
              <xdr:cNvSpPr txBox="1"/>
            </xdr:nvSpPr>
            <xdr:spPr>
              <a:xfrm>
                <a:off x="5845415" y="5237528"/>
                <a:ext cx="1627635" cy="2560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l"/>
                <a:r>
                  <a:rPr lang="en-US" sz="1100" b="0" i="0" u="none" strike="noStrike">
                    <a:solidFill>
                      <a:srgbClr val="000000"/>
                    </a:solidFill>
                    <a:latin typeface="Calibri"/>
                  </a:rPr>
                  <a:t>Min Walk Time</a:t>
                </a:r>
              </a:p>
            </xdr:txBody>
          </xdr:sp>
        </xdr:grpSp>
        <xdr:sp macro="" textlink="">
          <xdr:nvSpPr>
            <xdr:cNvPr id="169" name="TextBox 168">
              <a:extLst>
                <a:ext uri="{FF2B5EF4-FFF2-40B4-BE49-F238E27FC236}">
                  <a16:creationId xmlns:a16="http://schemas.microsoft.com/office/drawing/2014/main" id="{00000000-0008-0000-0D00-0000A9000000}"/>
                </a:ext>
              </a:extLst>
            </xdr:cNvPr>
            <xdr:cNvSpPr txBox="1"/>
          </xdr:nvSpPr>
          <xdr:spPr>
            <a:xfrm>
              <a:off x="6000975" y="5138304"/>
              <a:ext cx="3142197" cy="5435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l"/>
              <a:r>
                <a:rPr lang="en-US" sz="1000" b="0" i="0" u="none" strike="noStrike">
                  <a:solidFill>
                    <a:srgbClr val="000000"/>
                  </a:solidFill>
                  <a:latin typeface="Calibri"/>
                </a:rPr>
                <a:t>*UDOT Preemption</a:t>
              </a:r>
              <a:r>
                <a:rPr lang="en-US" sz="1000" b="0" i="0" u="none" strike="noStrike" baseline="0">
                  <a:solidFill>
                    <a:srgbClr val="000000"/>
                  </a:solidFill>
                  <a:latin typeface="Calibri"/>
                </a:rPr>
                <a:t> Form rounds this value up to the nearest whole number.</a:t>
              </a:r>
              <a:endParaRPr lang="en-US" sz="1000" b="0" i="0" u="none" strike="noStrike">
                <a:solidFill>
                  <a:srgbClr val="000000"/>
                </a:solidFill>
                <a:latin typeface="Calibri"/>
              </a:endParaRPr>
            </a:p>
          </xdr:txBody>
        </xdr:sp>
      </xdr:grpSp>
      <xdr:cxnSp macro="">
        <xdr:nvCxnSpPr>
          <xdr:cNvPr id="167" name="Straight Connector 166">
            <a:extLst>
              <a:ext uri="{FF2B5EF4-FFF2-40B4-BE49-F238E27FC236}">
                <a16:creationId xmlns:a16="http://schemas.microsoft.com/office/drawing/2014/main" id="{00000000-0008-0000-0D00-0000A7000000}"/>
              </a:ext>
            </a:extLst>
          </xdr:cNvPr>
          <xdr:cNvCxnSpPr/>
        </xdr:nvCxnSpPr>
        <xdr:spPr>
          <a:xfrm flipV="1">
            <a:off x="5985652" y="5257574"/>
            <a:ext cx="3178694" cy="0"/>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78941</xdr:colOff>
      <xdr:row>5</xdr:row>
      <xdr:rowOff>72497</xdr:rowOff>
    </xdr:from>
    <xdr:to>
      <xdr:col>43</xdr:col>
      <xdr:colOff>142876</xdr:colOff>
      <xdr:row>35</xdr:row>
      <xdr:rowOff>3320</xdr:rowOff>
    </xdr:to>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8941" y="1225022"/>
          <a:ext cx="9617510" cy="5493423"/>
        </a:xfrm>
        <a:prstGeom prst="rect">
          <a:avLst/>
        </a:prstGeom>
      </xdr:spPr>
    </xdr:pic>
    <xdr:clientData fLocksWithSheet="0"/>
  </xdr:twoCellAnchor>
  <xdr:twoCellAnchor>
    <xdr:from>
      <xdr:col>0</xdr:col>
      <xdr:colOff>0</xdr:colOff>
      <xdr:row>25</xdr:row>
      <xdr:rowOff>143931</xdr:rowOff>
    </xdr:from>
    <xdr:to>
      <xdr:col>13</xdr:col>
      <xdr:colOff>193523</xdr:colOff>
      <xdr:row>33</xdr:row>
      <xdr:rowOff>156159</xdr:rowOff>
    </xdr:to>
    <xdr:grpSp>
      <xdr:nvGrpSpPr>
        <xdr:cNvPr id="131" name="Group 130">
          <a:extLst>
            <a:ext uri="{FF2B5EF4-FFF2-40B4-BE49-F238E27FC236}">
              <a16:creationId xmlns:a16="http://schemas.microsoft.com/office/drawing/2014/main" id="{00000000-0008-0000-0E00-000083000000}"/>
            </a:ext>
          </a:extLst>
        </xdr:cNvPr>
        <xdr:cNvGrpSpPr/>
      </xdr:nvGrpSpPr>
      <xdr:grpSpPr>
        <a:xfrm>
          <a:off x="0" y="5111591"/>
          <a:ext cx="3092436" cy="1538133"/>
          <a:chOff x="90677" y="4364152"/>
          <a:chExt cx="2953535" cy="1536228"/>
        </a:xfrm>
      </xdr:grpSpPr>
      <xdr:grpSp>
        <xdr:nvGrpSpPr>
          <xdr:cNvPr id="4" name="Group 3">
            <a:extLst>
              <a:ext uri="{FF2B5EF4-FFF2-40B4-BE49-F238E27FC236}">
                <a16:creationId xmlns:a16="http://schemas.microsoft.com/office/drawing/2014/main" id="{00000000-0008-0000-0E00-000004000000}"/>
              </a:ext>
            </a:extLst>
          </xdr:cNvPr>
          <xdr:cNvGrpSpPr/>
        </xdr:nvGrpSpPr>
        <xdr:grpSpPr>
          <a:xfrm>
            <a:off x="90677" y="4364152"/>
            <a:ext cx="2953535" cy="1536228"/>
            <a:chOff x="34405" y="4237902"/>
            <a:chExt cx="2978942" cy="1536228"/>
          </a:xfrm>
        </xdr:grpSpPr>
        <xdr:grpSp>
          <xdr:nvGrpSpPr>
            <xdr:cNvPr id="5" name="Group 4">
              <a:extLst>
                <a:ext uri="{FF2B5EF4-FFF2-40B4-BE49-F238E27FC236}">
                  <a16:creationId xmlns:a16="http://schemas.microsoft.com/office/drawing/2014/main" id="{00000000-0008-0000-0E00-000005000000}"/>
                </a:ext>
              </a:extLst>
            </xdr:cNvPr>
            <xdr:cNvGrpSpPr/>
          </xdr:nvGrpSpPr>
          <xdr:grpSpPr>
            <a:xfrm>
              <a:off x="34405" y="4237902"/>
              <a:ext cx="2978942" cy="1536228"/>
              <a:chOff x="34405" y="4237902"/>
              <a:chExt cx="2978942" cy="1536228"/>
            </a:xfrm>
          </xdr:grpSpPr>
          <xdr:grpSp>
            <xdr:nvGrpSpPr>
              <xdr:cNvPr id="7" name="Group 6">
                <a:extLst>
                  <a:ext uri="{FF2B5EF4-FFF2-40B4-BE49-F238E27FC236}">
                    <a16:creationId xmlns:a16="http://schemas.microsoft.com/office/drawing/2014/main" id="{00000000-0008-0000-0E00-000007000000}"/>
                  </a:ext>
                </a:extLst>
              </xdr:cNvPr>
              <xdr:cNvGrpSpPr/>
            </xdr:nvGrpSpPr>
            <xdr:grpSpPr>
              <a:xfrm>
                <a:off x="34405" y="4237902"/>
                <a:ext cx="2978942" cy="1536228"/>
                <a:chOff x="10300342" y="3931010"/>
                <a:chExt cx="1970600" cy="1314849"/>
              </a:xfrm>
            </xdr:grpSpPr>
            <xdr:sp macro="" textlink="">
              <xdr:nvSpPr>
                <xdr:cNvPr id="37" name="Rectangle 36">
                  <a:extLst>
                    <a:ext uri="{FF2B5EF4-FFF2-40B4-BE49-F238E27FC236}">
                      <a16:creationId xmlns:a16="http://schemas.microsoft.com/office/drawing/2014/main" id="{00000000-0008-0000-0E00-000025000000}"/>
                    </a:ext>
                  </a:extLst>
                </xdr:cNvPr>
                <xdr:cNvSpPr/>
              </xdr:nvSpPr>
              <xdr:spPr>
                <a:xfrm>
                  <a:off x="10373593" y="3945860"/>
                  <a:ext cx="1841421" cy="1299999"/>
                </a:xfrm>
                <a:prstGeom prst="rect">
                  <a:avLst/>
                </a:prstGeom>
                <a:solidFill>
                  <a:sysClr val="window" lastClr="FFFFFF"/>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8" name="TextBox 37">
                  <a:extLst>
                    <a:ext uri="{FF2B5EF4-FFF2-40B4-BE49-F238E27FC236}">
                      <a16:creationId xmlns:a16="http://schemas.microsoft.com/office/drawing/2014/main" id="{00000000-0008-0000-0E00-000026000000}"/>
                    </a:ext>
                  </a:extLst>
                </xdr:cNvPr>
                <xdr:cNvSpPr txBox="1"/>
              </xdr:nvSpPr>
              <xdr:spPr>
                <a:xfrm>
                  <a:off x="10300342" y="3931010"/>
                  <a:ext cx="1970600" cy="2113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r>
                    <a:rPr lang="en-US" sz="1100" b="0" i="0" u="none" strike="noStrike">
                      <a:solidFill>
                        <a:srgbClr val="000000"/>
                      </a:solidFill>
                      <a:latin typeface="Calibri"/>
                    </a:rPr>
                    <a:t>Railroad</a:t>
                  </a:r>
                  <a:r>
                    <a:rPr lang="en-US" sz="1100" b="0" i="0" u="none" strike="noStrike" baseline="0">
                      <a:solidFill>
                        <a:srgbClr val="000000"/>
                      </a:solidFill>
                      <a:latin typeface="Calibri"/>
                    </a:rPr>
                    <a:t> Preemption Time Summary</a:t>
                  </a:r>
                  <a:endParaRPr lang="en-US" sz="1100" b="0" i="0" u="none" strike="noStrike">
                    <a:solidFill>
                      <a:srgbClr val="000000"/>
                    </a:solidFill>
                    <a:latin typeface="Calibri"/>
                  </a:endParaRPr>
                </a:p>
              </xdr:txBody>
            </xdr:sp>
          </xdr:grpSp>
          <xdr:sp macro="" textlink="Other!Q2">
            <xdr:nvSpPr>
              <xdr:cNvPr id="9" name="TextBox 8">
                <a:extLst>
                  <a:ext uri="{FF2B5EF4-FFF2-40B4-BE49-F238E27FC236}">
                    <a16:creationId xmlns:a16="http://schemas.microsoft.com/office/drawing/2014/main" id="{00000000-0008-0000-0E00-000009000000}"/>
                  </a:ext>
                </a:extLst>
              </xdr:cNvPr>
              <xdr:cNvSpPr txBox="1"/>
            </xdr:nvSpPr>
            <xdr:spPr>
              <a:xfrm>
                <a:off x="1710402" y="4663202"/>
                <a:ext cx="64446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fld id="{CD85B65B-48EE-4B61-B921-84F64EF257B4}" type="TxLink">
                  <a:rPr lang="en-US" sz="1100" b="0" i="0" u="none" strike="noStrike">
                    <a:solidFill>
                      <a:srgbClr val="000000"/>
                    </a:solidFill>
                    <a:latin typeface="Calibri"/>
                  </a:rPr>
                  <a:pPr algn="ctr"/>
                  <a:t>20 sec</a:t>
                </a:fld>
                <a:endParaRPr lang="en-US" sz="1100" b="0" i="0" u="none" strike="noStrike">
                  <a:solidFill>
                    <a:srgbClr val="000000"/>
                  </a:solidFill>
                  <a:latin typeface="Calibri"/>
                </a:endParaRPr>
              </a:p>
            </xdr:txBody>
          </xdr:sp>
          <xdr:sp macro="" textlink="Other!Q3">
            <xdr:nvSpPr>
              <xdr:cNvPr id="10" name="TextBox 9">
                <a:extLst>
                  <a:ext uri="{FF2B5EF4-FFF2-40B4-BE49-F238E27FC236}">
                    <a16:creationId xmlns:a16="http://schemas.microsoft.com/office/drawing/2014/main" id="{00000000-0008-0000-0E00-00000A000000}"/>
                  </a:ext>
                </a:extLst>
              </xdr:cNvPr>
              <xdr:cNvSpPr txBox="1"/>
            </xdr:nvSpPr>
            <xdr:spPr>
              <a:xfrm>
                <a:off x="1693090" y="4793560"/>
                <a:ext cx="679089"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fld id="{BB4FE11E-F664-4998-9417-8629337D2E5A}" type="TxLink">
                  <a:rPr lang="en-US" sz="1100" b="0" i="0" u="none" strike="noStrike">
                    <a:solidFill>
                      <a:srgbClr val="000000"/>
                    </a:solidFill>
                    <a:latin typeface="Calibri"/>
                  </a:rPr>
                  <a:pPr algn="ctr"/>
                  <a:t>3 sec</a:t>
                </a:fld>
                <a:endParaRPr lang="en-US" sz="1100" b="0" i="0" u="none" strike="noStrike">
                  <a:solidFill>
                    <a:srgbClr val="000000"/>
                  </a:solidFill>
                  <a:latin typeface="Calibri"/>
                </a:endParaRPr>
              </a:p>
            </xdr:txBody>
          </xdr:sp>
          <xdr:sp macro="" textlink="Other!Q4">
            <xdr:nvSpPr>
              <xdr:cNvPr id="11" name="TextBox 10">
                <a:extLst>
                  <a:ext uri="{FF2B5EF4-FFF2-40B4-BE49-F238E27FC236}">
                    <a16:creationId xmlns:a16="http://schemas.microsoft.com/office/drawing/2014/main" id="{00000000-0008-0000-0E00-00000B000000}"/>
                  </a:ext>
                </a:extLst>
              </xdr:cNvPr>
              <xdr:cNvSpPr txBox="1"/>
            </xdr:nvSpPr>
            <xdr:spPr>
              <a:xfrm>
                <a:off x="1701665" y="4923919"/>
                <a:ext cx="661938"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fld id="{5A301ECE-F903-4C2E-82E0-ED4EFD758F06}" type="TxLink">
                  <a:rPr lang="en-US" sz="1100" b="0" i="0" u="none" strike="noStrike">
                    <a:solidFill>
                      <a:srgbClr val="000000"/>
                    </a:solidFill>
                    <a:latin typeface="Calibri"/>
                  </a:rPr>
                  <a:pPr algn="ctr"/>
                  <a:t>23 sec</a:t>
                </a:fld>
                <a:endParaRPr lang="en-US" sz="1100" b="0" i="0" u="none" strike="noStrike">
                  <a:solidFill>
                    <a:srgbClr val="000000"/>
                  </a:solidFill>
                  <a:latin typeface="Calibri"/>
                </a:endParaRPr>
              </a:p>
            </xdr:txBody>
          </xdr:sp>
          <xdr:sp macro="" textlink="Other!Q5">
            <xdr:nvSpPr>
              <xdr:cNvPr id="12" name="TextBox 11">
                <a:extLst>
                  <a:ext uri="{FF2B5EF4-FFF2-40B4-BE49-F238E27FC236}">
                    <a16:creationId xmlns:a16="http://schemas.microsoft.com/office/drawing/2014/main" id="{00000000-0008-0000-0E00-00000C000000}"/>
                  </a:ext>
                </a:extLst>
              </xdr:cNvPr>
              <xdr:cNvSpPr txBox="1"/>
            </xdr:nvSpPr>
            <xdr:spPr>
              <a:xfrm>
                <a:off x="1694339" y="5054278"/>
                <a:ext cx="676593"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fld id="{A4A1593F-F0E7-4235-9CB2-AD751EF0B93C}" type="TxLink">
                  <a:rPr lang="en-US" sz="1100" b="0" i="0" u="none" strike="noStrike">
                    <a:solidFill>
                      <a:srgbClr val="000000"/>
                    </a:solidFill>
                    <a:latin typeface="Calibri"/>
                  </a:rPr>
                  <a:pPr algn="ctr"/>
                  <a:t>5 sec</a:t>
                </a:fld>
                <a:endParaRPr lang="en-US" sz="1100" b="0" i="0" u="none" strike="noStrike">
                  <a:solidFill>
                    <a:srgbClr val="000000"/>
                  </a:solidFill>
                  <a:latin typeface="Calibri"/>
                </a:endParaRPr>
              </a:p>
            </xdr:txBody>
          </xdr:sp>
          <xdr:sp macro="" textlink="Other!Q6">
            <xdr:nvSpPr>
              <xdr:cNvPr id="13" name="TextBox 12">
                <a:extLst>
                  <a:ext uri="{FF2B5EF4-FFF2-40B4-BE49-F238E27FC236}">
                    <a16:creationId xmlns:a16="http://schemas.microsoft.com/office/drawing/2014/main" id="{00000000-0008-0000-0E00-00000D000000}"/>
                  </a:ext>
                </a:extLst>
              </xdr:cNvPr>
              <xdr:cNvSpPr txBox="1"/>
            </xdr:nvSpPr>
            <xdr:spPr>
              <a:xfrm>
                <a:off x="1708325" y="5184637"/>
                <a:ext cx="648618"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fld id="{54833A57-3A40-47F1-A96C-1651D6C7C04E}" type="TxLink">
                  <a:rPr lang="en-US" sz="1100" b="0" i="0" u="none" strike="noStrike">
                    <a:solidFill>
                      <a:srgbClr val="000000"/>
                    </a:solidFill>
                    <a:latin typeface="Calibri"/>
                  </a:rPr>
                  <a:pPr algn="ctr"/>
                  <a:t>28 sec</a:t>
                </a:fld>
                <a:endParaRPr lang="en-US" sz="1100" b="0" i="0" u="none" strike="noStrike">
                  <a:solidFill>
                    <a:srgbClr val="000000"/>
                  </a:solidFill>
                  <a:latin typeface="Calibri"/>
                </a:endParaRPr>
              </a:p>
            </xdr:txBody>
          </xdr:sp>
          <xdr:sp macro="" textlink="">
            <xdr:nvSpPr>
              <xdr:cNvPr id="14" name="TextBox 13">
                <a:extLst>
                  <a:ext uri="{FF2B5EF4-FFF2-40B4-BE49-F238E27FC236}">
                    <a16:creationId xmlns:a16="http://schemas.microsoft.com/office/drawing/2014/main" id="{00000000-0008-0000-0E00-00000E000000}"/>
                  </a:ext>
                </a:extLst>
              </xdr:cNvPr>
              <xdr:cNvSpPr txBox="1"/>
            </xdr:nvSpPr>
            <xdr:spPr>
              <a:xfrm>
                <a:off x="158374" y="4663201"/>
                <a:ext cx="1313014"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l"/>
                <a:r>
                  <a:rPr lang="en-US" sz="1100" b="0" i="0" u="none" strike="noStrike">
                    <a:solidFill>
                      <a:srgbClr val="000000"/>
                    </a:solidFill>
                    <a:latin typeface="Calibri"/>
                  </a:rPr>
                  <a:t>Minimum</a:t>
                </a:r>
                <a:r>
                  <a:rPr lang="en-US" sz="1100" b="0" i="0" u="none" strike="noStrike" baseline="0">
                    <a:solidFill>
                      <a:srgbClr val="000000"/>
                    </a:solidFill>
                    <a:latin typeface="Calibri"/>
                  </a:rPr>
                  <a:t> Time</a:t>
                </a:r>
                <a:endParaRPr lang="en-US" sz="1100" b="0" i="0" u="none" strike="noStrike">
                  <a:solidFill>
                    <a:srgbClr val="000000"/>
                  </a:solidFill>
                  <a:latin typeface="Calibri"/>
                </a:endParaRPr>
              </a:p>
            </xdr:txBody>
          </xdr:sp>
          <xdr:sp macro="" textlink="">
            <xdr:nvSpPr>
              <xdr:cNvPr id="15" name="TextBox 14">
                <a:extLst>
                  <a:ext uri="{FF2B5EF4-FFF2-40B4-BE49-F238E27FC236}">
                    <a16:creationId xmlns:a16="http://schemas.microsoft.com/office/drawing/2014/main" id="{00000000-0008-0000-0E00-00000F000000}"/>
                  </a:ext>
                </a:extLst>
              </xdr:cNvPr>
              <xdr:cNvSpPr txBox="1"/>
            </xdr:nvSpPr>
            <xdr:spPr>
              <a:xfrm>
                <a:off x="158374" y="4793560"/>
                <a:ext cx="1261297"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l"/>
                <a:r>
                  <a:rPr lang="en-US" sz="1100" b="0" i="0" u="none" strike="noStrike">
                    <a:solidFill>
                      <a:srgbClr val="000000"/>
                    </a:solidFill>
                    <a:latin typeface="Calibri"/>
                  </a:rPr>
                  <a:t>Clearance Time</a:t>
                </a:r>
              </a:p>
            </xdr:txBody>
          </xdr:sp>
          <xdr:sp macro="" textlink="">
            <xdr:nvSpPr>
              <xdr:cNvPr id="16" name="TextBox 15">
                <a:extLst>
                  <a:ext uri="{FF2B5EF4-FFF2-40B4-BE49-F238E27FC236}">
                    <a16:creationId xmlns:a16="http://schemas.microsoft.com/office/drawing/2014/main" id="{00000000-0008-0000-0E00-000010000000}"/>
                  </a:ext>
                </a:extLst>
              </xdr:cNvPr>
              <xdr:cNvSpPr txBox="1"/>
            </xdr:nvSpPr>
            <xdr:spPr>
              <a:xfrm>
                <a:off x="158374" y="5054278"/>
                <a:ext cx="1163737"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l"/>
                <a:r>
                  <a:rPr lang="en-US" sz="1100" b="0" i="0" u="none" strike="noStrike">
                    <a:solidFill>
                      <a:srgbClr val="000000"/>
                    </a:solidFill>
                    <a:latin typeface="Calibri"/>
                  </a:rPr>
                  <a:t>Buffer Time</a:t>
                </a:r>
              </a:p>
            </xdr:txBody>
          </xdr:sp>
          <xdr:sp macro="" textlink="">
            <xdr:nvSpPr>
              <xdr:cNvPr id="17" name="TextBox 16">
                <a:extLst>
                  <a:ext uri="{FF2B5EF4-FFF2-40B4-BE49-F238E27FC236}">
                    <a16:creationId xmlns:a16="http://schemas.microsoft.com/office/drawing/2014/main" id="{00000000-0008-0000-0E00-000011000000}"/>
                  </a:ext>
                </a:extLst>
              </xdr:cNvPr>
              <xdr:cNvSpPr txBox="1"/>
            </xdr:nvSpPr>
            <xdr:spPr>
              <a:xfrm>
                <a:off x="158374" y="5184637"/>
                <a:ext cx="1539122"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l"/>
                <a:r>
                  <a:rPr lang="en-US" sz="1100" b="0" i="0" u="none" strike="noStrike">
                    <a:solidFill>
                      <a:srgbClr val="000000"/>
                    </a:solidFill>
                    <a:latin typeface="Calibri"/>
                  </a:rPr>
                  <a:t>Total</a:t>
                </a:r>
                <a:r>
                  <a:rPr lang="en-US" sz="1100" b="0" i="0" u="none" strike="noStrike" baseline="0">
                    <a:solidFill>
                      <a:srgbClr val="000000"/>
                    </a:solidFill>
                    <a:latin typeface="Calibri"/>
                  </a:rPr>
                  <a:t> Warning Time</a:t>
                </a:r>
                <a:endParaRPr lang="en-US" sz="1100" b="0" i="0" u="none" strike="noStrike">
                  <a:solidFill>
                    <a:srgbClr val="000000"/>
                  </a:solidFill>
                  <a:latin typeface="Calibri"/>
                </a:endParaRPr>
              </a:p>
            </xdr:txBody>
          </xdr:sp>
          <xdr:sp macro="" textlink="">
            <xdr:nvSpPr>
              <xdr:cNvPr id="18" name="TextBox 17">
                <a:extLst>
                  <a:ext uri="{FF2B5EF4-FFF2-40B4-BE49-F238E27FC236}">
                    <a16:creationId xmlns:a16="http://schemas.microsoft.com/office/drawing/2014/main" id="{00000000-0008-0000-0E00-000012000000}"/>
                  </a:ext>
                </a:extLst>
              </xdr:cNvPr>
              <xdr:cNvSpPr txBox="1"/>
            </xdr:nvSpPr>
            <xdr:spPr>
              <a:xfrm>
                <a:off x="158374" y="5314996"/>
                <a:ext cx="1828741"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l"/>
                <a:r>
                  <a:rPr lang="en-US" sz="1100" b="0" i="0" u="none" strike="noStrike">
                    <a:solidFill>
                      <a:srgbClr val="000000"/>
                    </a:solidFill>
                    <a:latin typeface="Calibri"/>
                  </a:rPr>
                  <a:t>Equipment Response Time</a:t>
                </a:r>
              </a:p>
            </xdr:txBody>
          </xdr:sp>
          <xdr:sp macro="" textlink="">
            <xdr:nvSpPr>
              <xdr:cNvPr id="19" name="TextBox 18">
                <a:extLst>
                  <a:ext uri="{FF2B5EF4-FFF2-40B4-BE49-F238E27FC236}">
                    <a16:creationId xmlns:a16="http://schemas.microsoft.com/office/drawing/2014/main" id="{00000000-0008-0000-0E00-000013000000}"/>
                  </a:ext>
                </a:extLst>
              </xdr:cNvPr>
              <xdr:cNvSpPr txBox="1"/>
            </xdr:nvSpPr>
            <xdr:spPr>
              <a:xfrm>
                <a:off x="158374" y="5445355"/>
                <a:ext cx="1911522"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l"/>
                <a:r>
                  <a:rPr lang="en-US" sz="1100" b="0" i="0" u="none" strike="noStrike">
                    <a:solidFill>
                      <a:srgbClr val="000000"/>
                    </a:solidFill>
                    <a:latin typeface="Calibri"/>
                  </a:rPr>
                  <a:t>Advance Preemption Time</a:t>
                </a:r>
              </a:p>
            </xdr:txBody>
          </xdr:sp>
          <xdr:sp macro="" textlink="">
            <xdr:nvSpPr>
              <xdr:cNvPr id="20" name="TextBox 19">
                <a:extLst>
                  <a:ext uri="{FF2B5EF4-FFF2-40B4-BE49-F238E27FC236}">
                    <a16:creationId xmlns:a16="http://schemas.microsoft.com/office/drawing/2014/main" id="{00000000-0008-0000-0E00-000014000000}"/>
                  </a:ext>
                </a:extLst>
              </xdr:cNvPr>
              <xdr:cNvSpPr txBox="1"/>
            </xdr:nvSpPr>
            <xdr:spPr>
              <a:xfrm>
                <a:off x="158374" y="5575714"/>
                <a:ext cx="1629931"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l"/>
                <a:r>
                  <a:rPr lang="en-US" sz="1100" b="0" i="0" u="none" strike="noStrike">
                    <a:solidFill>
                      <a:srgbClr val="000000"/>
                    </a:solidFill>
                    <a:latin typeface="Calibri"/>
                  </a:rPr>
                  <a:t>Total Approach Time</a:t>
                </a:r>
              </a:p>
            </xdr:txBody>
          </xdr:sp>
          <xdr:sp macro="" textlink="Other!R14">
            <xdr:nvSpPr>
              <xdr:cNvPr id="21" name="TextBox 20">
                <a:extLst>
                  <a:ext uri="{FF2B5EF4-FFF2-40B4-BE49-F238E27FC236}">
                    <a16:creationId xmlns:a16="http://schemas.microsoft.com/office/drawing/2014/main" id="{00000000-0008-0000-0E00-000015000000}"/>
                  </a:ext>
                </a:extLst>
              </xdr:cNvPr>
              <xdr:cNvSpPr txBox="1"/>
            </xdr:nvSpPr>
            <xdr:spPr>
              <a:xfrm>
                <a:off x="2312937" y="4463323"/>
                <a:ext cx="646168"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fld id="{D808F3F5-0267-4FFC-80AB-2A679F5D209F}" type="TxLink">
                  <a:rPr lang="en-US" sz="1100" b="0" i="0" u="none" strike="noStrike">
                    <a:solidFill>
                      <a:srgbClr val="000000"/>
                    </a:solidFill>
                    <a:latin typeface="Calibri"/>
                  </a:rPr>
                  <a:pPr algn="ctr"/>
                  <a:t> </a:t>
                </a:fld>
                <a:endParaRPr lang="en-US" sz="1100" b="0" i="0" u="none" strike="noStrike">
                  <a:solidFill>
                    <a:srgbClr val="000000"/>
                  </a:solidFill>
                  <a:latin typeface="Calibri"/>
                </a:endParaRPr>
              </a:p>
            </xdr:txBody>
          </xdr:sp>
          <xdr:sp macro="" textlink="">
            <xdr:nvSpPr>
              <xdr:cNvPr id="22" name="TextBox 21">
                <a:extLst>
                  <a:ext uri="{FF2B5EF4-FFF2-40B4-BE49-F238E27FC236}">
                    <a16:creationId xmlns:a16="http://schemas.microsoft.com/office/drawing/2014/main" id="{00000000-0008-0000-0E00-000016000000}"/>
                  </a:ext>
                </a:extLst>
              </xdr:cNvPr>
              <xdr:cNvSpPr txBox="1"/>
            </xdr:nvSpPr>
            <xdr:spPr>
              <a:xfrm>
                <a:off x="158374" y="4923919"/>
                <a:ext cx="1711033"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l"/>
                <a:r>
                  <a:rPr lang="en-US" sz="1100" b="0" i="0" u="none" strike="noStrike">
                    <a:solidFill>
                      <a:srgbClr val="000000"/>
                    </a:solidFill>
                    <a:latin typeface="Calibri"/>
                  </a:rPr>
                  <a:t>Minimum Warning</a:t>
                </a:r>
                <a:r>
                  <a:rPr lang="en-US" sz="1100" b="0" i="0" u="none" strike="noStrike" baseline="0">
                    <a:solidFill>
                      <a:srgbClr val="000000"/>
                    </a:solidFill>
                    <a:latin typeface="Calibri"/>
                  </a:rPr>
                  <a:t> Time</a:t>
                </a:r>
                <a:endParaRPr lang="en-US" sz="1100" b="0" i="0" u="none" strike="noStrike">
                  <a:solidFill>
                    <a:srgbClr val="000000"/>
                  </a:solidFill>
                  <a:latin typeface="Calibri"/>
                </a:endParaRPr>
              </a:p>
            </xdr:txBody>
          </xdr:sp>
          <xdr:sp macro="" textlink="Other!Q7">
            <xdr:nvSpPr>
              <xdr:cNvPr id="23" name="TextBox 22">
                <a:extLst>
                  <a:ext uri="{FF2B5EF4-FFF2-40B4-BE49-F238E27FC236}">
                    <a16:creationId xmlns:a16="http://schemas.microsoft.com/office/drawing/2014/main" id="{00000000-0008-0000-0E00-000017000000}"/>
                  </a:ext>
                </a:extLst>
              </xdr:cNvPr>
              <xdr:cNvSpPr txBox="1"/>
            </xdr:nvSpPr>
            <xdr:spPr>
              <a:xfrm>
                <a:off x="1707085" y="5314996"/>
                <a:ext cx="65110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fld id="{56BAD4C1-D88A-4971-9180-AAA476AB0022}" type="TxLink">
                  <a:rPr lang="en-US" sz="1100" b="0" i="0" u="none" strike="noStrike">
                    <a:solidFill>
                      <a:srgbClr val="000000"/>
                    </a:solidFill>
                    <a:latin typeface="Calibri"/>
                  </a:rPr>
                  <a:pPr algn="ctr"/>
                  <a:t>5 sec</a:t>
                </a:fld>
                <a:endParaRPr lang="en-US" sz="1100" b="0" i="0" u="none" strike="noStrike">
                  <a:solidFill>
                    <a:srgbClr val="000000"/>
                  </a:solidFill>
                  <a:latin typeface="Calibri"/>
                </a:endParaRPr>
              </a:p>
            </xdr:txBody>
          </xdr:sp>
          <xdr:sp macro="" textlink="Other!Q8">
            <xdr:nvSpPr>
              <xdr:cNvPr id="24" name="TextBox 23">
                <a:extLst>
                  <a:ext uri="{FF2B5EF4-FFF2-40B4-BE49-F238E27FC236}">
                    <a16:creationId xmlns:a16="http://schemas.microsoft.com/office/drawing/2014/main" id="{00000000-0008-0000-0E00-000018000000}"/>
                  </a:ext>
                </a:extLst>
              </xdr:cNvPr>
              <xdr:cNvSpPr txBox="1"/>
            </xdr:nvSpPr>
            <xdr:spPr>
              <a:xfrm>
                <a:off x="1701215" y="5445355"/>
                <a:ext cx="662838"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fld id="{CA537516-E896-4B03-B08B-DF9FEDF799D0}" type="TxLink">
                  <a:rPr lang="en-US" sz="1100" b="0" i="0" u="none" strike="noStrike">
                    <a:solidFill>
                      <a:srgbClr val="000000"/>
                    </a:solidFill>
                    <a:latin typeface="Calibri"/>
                  </a:rPr>
                  <a:pPr algn="ctr"/>
                  <a:t> </a:t>
                </a:fld>
                <a:endParaRPr lang="en-US" sz="1100" b="0" i="0" u="none" strike="noStrike">
                  <a:solidFill>
                    <a:srgbClr val="000000"/>
                  </a:solidFill>
                  <a:latin typeface="Calibri"/>
                </a:endParaRPr>
              </a:p>
            </xdr:txBody>
          </xdr:sp>
          <xdr:sp macro="" textlink="Other!Q9">
            <xdr:nvSpPr>
              <xdr:cNvPr id="25" name="TextBox 24">
                <a:extLst>
                  <a:ext uri="{FF2B5EF4-FFF2-40B4-BE49-F238E27FC236}">
                    <a16:creationId xmlns:a16="http://schemas.microsoft.com/office/drawing/2014/main" id="{00000000-0008-0000-0E00-000019000000}"/>
                  </a:ext>
                </a:extLst>
              </xdr:cNvPr>
              <xdr:cNvSpPr txBox="1"/>
            </xdr:nvSpPr>
            <xdr:spPr>
              <a:xfrm>
                <a:off x="1701992" y="5575714"/>
                <a:ext cx="661283"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fld id="{CF403ED0-13C0-4CCE-8866-F9A51813C3DA}" type="TxLink">
                  <a:rPr lang="en-US" sz="1100" b="0" i="0" u="none" strike="noStrike">
                    <a:solidFill>
                      <a:srgbClr val="000000"/>
                    </a:solidFill>
                    <a:latin typeface="Calibri"/>
                  </a:rPr>
                  <a:pPr algn="ctr"/>
                  <a:t>33 sec</a:t>
                </a:fld>
                <a:endParaRPr lang="en-US" sz="1100" b="0" i="0" u="none" strike="noStrike">
                  <a:solidFill>
                    <a:srgbClr val="000000"/>
                  </a:solidFill>
                  <a:latin typeface="Calibri"/>
                </a:endParaRPr>
              </a:p>
            </xdr:txBody>
          </xdr:sp>
          <xdr:cxnSp macro="">
            <xdr:nvCxnSpPr>
              <xdr:cNvPr id="26" name="Straight Connector 25">
                <a:extLst>
                  <a:ext uri="{FF2B5EF4-FFF2-40B4-BE49-F238E27FC236}">
                    <a16:creationId xmlns:a16="http://schemas.microsoft.com/office/drawing/2014/main" id="{00000000-0008-0000-0E00-00001A000000}"/>
                  </a:ext>
                </a:extLst>
              </xdr:cNvPr>
              <xdr:cNvCxnSpPr/>
            </xdr:nvCxnSpPr>
            <xdr:spPr>
              <a:xfrm flipV="1">
                <a:off x="153506" y="4454870"/>
                <a:ext cx="2773205" cy="0"/>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sp macro="" textlink="Other!R2">
            <xdr:nvSpPr>
              <xdr:cNvPr id="27" name="TextBox 26">
                <a:extLst>
                  <a:ext uri="{FF2B5EF4-FFF2-40B4-BE49-F238E27FC236}">
                    <a16:creationId xmlns:a16="http://schemas.microsoft.com/office/drawing/2014/main" id="{00000000-0008-0000-0E00-00001B000000}"/>
                  </a:ext>
                </a:extLst>
              </xdr:cNvPr>
              <xdr:cNvSpPr txBox="1"/>
            </xdr:nvSpPr>
            <xdr:spPr>
              <a:xfrm>
                <a:off x="2302218" y="4675109"/>
                <a:ext cx="65960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fld id="{00305C9B-2E0C-46A6-AAEC-1E05F9668698}" type="TxLink">
                  <a:rPr lang="en-US" sz="1100" b="0" i="0" u="none" strike="noStrike">
                    <a:solidFill>
                      <a:srgbClr val="000000"/>
                    </a:solidFill>
                    <a:latin typeface="Calibri"/>
                  </a:rPr>
                  <a:pPr algn="ctr"/>
                  <a:t> </a:t>
                </a:fld>
                <a:endParaRPr lang="en-US" sz="1100" b="0" i="0" u="none" strike="noStrike">
                  <a:solidFill>
                    <a:srgbClr val="000000"/>
                  </a:solidFill>
                  <a:latin typeface="Calibri"/>
                </a:endParaRPr>
              </a:p>
            </xdr:txBody>
          </xdr:sp>
          <xdr:sp macro="" textlink="Other!R3">
            <xdr:nvSpPr>
              <xdr:cNvPr id="28" name="TextBox 27">
                <a:extLst>
                  <a:ext uri="{FF2B5EF4-FFF2-40B4-BE49-F238E27FC236}">
                    <a16:creationId xmlns:a16="http://schemas.microsoft.com/office/drawing/2014/main" id="{00000000-0008-0000-0E00-00001C000000}"/>
                  </a:ext>
                </a:extLst>
              </xdr:cNvPr>
              <xdr:cNvSpPr txBox="1"/>
            </xdr:nvSpPr>
            <xdr:spPr>
              <a:xfrm>
                <a:off x="2306981" y="4793560"/>
                <a:ext cx="650075"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fld id="{7BC22561-600E-4891-83F0-1986CAC3652F}" type="TxLink">
                  <a:rPr lang="en-US" sz="1100" b="0" i="0" u="none" strike="noStrike">
                    <a:solidFill>
                      <a:srgbClr val="000000"/>
                    </a:solidFill>
                    <a:latin typeface="Calibri"/>
                  </a:rPr>
                  <a:pPr algn="ctr"/>
                  <a:t> </a:t>
                </a:fld>
                <a:endParaRPr lang="en-US" sz="1100" b="0" i="0" u="none" strike="noStrike">
                  <a:solidFill>
                    <a:srgbClr val="000000"/>
                  </a:solidFill>
                  <a:latin typeface="Calibri"/>
                </a:endParaRPr>
              </a:p>
            </xdr:txBody>
          </xdr:sp>
          <xdr:sp macro="" textlink="Other!R4">
            <xdr:nvSpPr>
              <xdr:cNvPr id="29" name="TextBox 28">
                <a:extLst>
                  <a:ext uri="{FF2B5EF4-FFF2-40B4-BE49-F238E27FC236}">
                    <a16:creationId xmlns:a16="http://schemas.microsoft.com/office/drawing/2014/main" id="{00000000-0008-0000-0E00-00001D000000}"/>
                  </a:ext>
                </a:extLst>
              </xdr:cNvPr>
              <xdr:cNvSpPr txBox="1"/>
            </xdr:nvSpPr>
            <xdr:spPr>
              <a:xfrm>
                <a:off x="2309912" y="4923919"/>
                <a:ext cx="644212"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fld id="{0C548FF5-C2BB-408C-9380-B20DBC79CEC4}" type="TxLink">
                  <a:rPr lang="en-US" sz="1100" b="0" i="0" u="none" strike="noStrike">
                    <a:solidFill>
                      <a:srgbClr val="000000"/>
                    </a:solidFill>
                    <a:latin typeface="Calibri"/>
                  </a:rPr>
                  <a:pPr algn="ctr"/>
                  <a:t> </a:t>
                </a:fld>
                <a:endParaRPr lang="en-US" sz="1100" b="0" i="0" u="none" strike="noStrike">
                  <a:solidFill>
                    <a:srgbClr val="000000"/>
                  </a:solidFill>
                  <a:latin typeface="Calibri"/>
                </a:endParaRPr>
              </a:p>
            </xdr:txBody>
          </xdr:sp>
          <xdr:sp macro="" textlink="Other!R5">
            <xdr:nvSpPr>
              <xdr:cNvPr id="30" name="TextBox 29">
                <a:extLst>
                  <a:ext uri="{FF2B5EF4-FFF2-40B4-BE49-F238E27FC236}">
                    <a16:creationId xmlns:a16="http://schemas.microsoft.com/office/drawing/2014/main" id="{00000000-0008-0000-0E00-00001E000000}"/>
                  </a:ext>
                </a:extLst>
              </xdr:cNvPr>
              <xdr:cNvSpPr txBox="1"/>
            </xdr:nvSpPr>
            <xdr:spPr>
              <a:xfrm>
                <a:off x="2305970" y="5054278"/>
                <a:ext cx="652096"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fld id="{9633D490-7CD8-45C3-83D2-4BE2E3D8A684}" type="TxLink">
                  <a:rPr lang="en-US" sz="1100" b="0" i="0" u="none" strike="noStrike">
                    <a:solidFill>
                      <a:srgbClr val="000000"/>
                    </a:solidFill>
                    <a:latin typeface="Calibri"/>
                  </a:rPr>
                  <a:pPr algn="ctr"/>
                  <a:t> </a:t>
                </a:fld>
                <a:endParaRPr lang="en-US" sz="1100" b="0" i="0" u="none" strike="noStrike">
                  <a:solidFill>
                    <a:srgbClr val="000000"/>
                  </a:solidFill>
                  <a:latin typeface="Calibri"/>
                </a:endParaRPr>
              </a:p>
            </xdr:txBody>
          </xdr:sp>
          <xdr:sp macro="" textlink="Other!R6">
            <xdr:nvSpPr>
              <xdr:cNvPr id="31" name="TextBox 30">
                <a:extLst>
                  <a:ext uri="{FF2B5EF4-FFF2-40B4-BE49-F238E27FC236}">
                    <a16:creationId xmlns:a16="http://schemas.microsoft.com/office/drawing/2014/main" id="{00000000-0008-0000-0E00-00001F000000}"/>
                  </a:ext>
                </a:extLst>
              </xdr:cNvPr>
              <xdr:cNvSpPr txBox="1"/>
            </xdr:nvSpPr>
            <xdr:spPr>
              <a:xfrm>
                <a:off x="2302307" y="5184637"/>
                <a:ext cx="659423"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fld id="{46FA7C64-48AE-40DB-AB9C-3989787E1901}" type="TxLink">
                  <a:rPr lang="en-US" sz="1100" b="0" i="0" u="none" strike="noStrike">
                    <a:solidFill>
                      <a:srgbClr val="000000"/>
                    </a:solidFill>
                    <a:latin typeface="Calibri"/>
                  </a:rPr>
                  <a:pPr algn="ctr"/>
                  <a:t> </a:t>
                </a:fld>
                <a:endParaRPr lang="en-US" sz="1100" b="0" i="0" u="none" strike="noStrike">
                  <a:solidFill>
                    <a:srgbClr val="000000"/>
                  </a:solidFill>
                  <a:latin typeface="Calibri"/>
                </a:endParaRPr>
              </a:p>
            </xdr:txBody>
          </xdr:sp>
          <xdr:sp macro="" textlink="Other!R7">
            <xdr:nvSpPr>
              <xdr:cNvPr id="32" name="TextBox 31">
                <a:extLst>
                  <a:ext uri="{FF2B5EF4-FFF2-40B4-BE49-F238E27FC236}">
                    <a16:creationId xmlns:a16="http://schemas.microsoft.com/office/drawing/2014/main" id="{00000000-0008-0000-0E00-000020000000}"/>
                  </a:ext>
                </a:extLst>
              </xdr:cNvPr>
              <xdr:cNvSpPr txBox="1"/>
            </xdr:nvSpPr>
            <xdr:spPr>
              <a:xfrm>
                <a:off x="2302307" y="5314996"/>
                <a:ext cx="659423"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fld id="{24FAE925-FCB0-48FA-B5F1-4CE561BE0C91}" type="TxLink">
                  <a:rPr lang="en-US" sz="1100" b="0" i="0" u="none" strike="noStrike">
                    <a:solidFill>
                      <a:srgbClr val="000000"/>
                    </a:solidFill>
                    <a:latin typeface="Calibri"/>
                  </a:rPr>
                  <a:pPr algn="ctr"/>
                  <a:t> </a:t>
                </a:fld>
                <a:endParaRPr lang="en-US" sz="1100" b="0" i="0" u="none" strike="noStrike">
                  <a:solidFill>
                    <a:srgbClr val="000000"/>
                  </a:solidFill>
                  <a:latin typeface="Calibri"/>
                </a:endParaRPr>
              </a:p>
            </xdr:txBody>
          </xdr:sp>
          <xdr:sp macro="" textlink="Other!R8">
            <xdr:nvSpPr>
              <xdr:cNvPr id="33" name="TextBox 32">
                <a:extLst>
                  <a:ext uri="{FF2B5EF4-FFF2-40B4-BE49-F238E27FC236}">
                    <a16:creationId xmlns:a16="http://schemas.microsoft.com/office/drawing/2014/main" id="{00000000-0008-0000-0E00-000021000000}"/>
                  </a:ext>
                </a:extLst>
              </xdr:cNvPr>
              <xdr:cNvSpPr txBox="1"/>
            </xdr:nvSpPr>
            <xdr:spPr>
              <a:xfrm>
                <a:off x="2302307" y="5445355"/>
                <a:ext cx="659423"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fld id="{497B4EB1-1F48-4ED3-AC3A-1C7AB62294EE}" type="TxLink">
                  <a:rPr lang="en-US" sz="1100" b="0" i="0" u="none" strike="noStrike">
                    <a:solidFill>
                      <a:srgbClr val="000000"/>
                    </a:solidFill>
                    <a:latin typeface="Calibri"/>
                  </a:rPr>
                  <a:pPr algn="ctr"/>
                  <a:t> </a:t>
                </a:fld>
                <a:endParaRPr lang="en-US" sz="1100" b="0" i="0" u="none" strike="noStrike">
                  <a:solidFill>
                    <a:srgbClr val="000000"/>
                  </a:solidFill>
                  <a:latin typeface="Calibri"/>
                </a:endParaRPr>
              </a:p>
            </xdr:txBody>
          </xdr:sp>
          <xdr:sp macro="" textlink="Other!R9">
            <xdr:nvSpPr>
              <xdr:cNvPr id="34" name="TextBox 33">
                <a:extLst>
                  <a:ext uri="{FF2B5EF4-FFF2-40B4-BE49-F238E27FC236}">
                    <a16:creationId xmlns:a16="http://schemas.microsoft.com/office/drawing/2014/main" id="{00000000-0008-0000-0E00-000022000000}"/>
                  </a:ext>
                </a:extLst>
              </xdr:cNvPr>
              <xdr:cNvSpPr txBox="1"/>
            </xdr:nvSpPr>
            <xdr:spPr>
              <a:xfrm>
                <a:off x="2298643" y="5575714"/>
                <a:ext cx="66675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fld id="{1A3D8550-8257-4874-AA01-D22A3941B9E1}" type="TxLink">
                  <a:rPr lang="en-US" sz="1100" b="0" i="0" u="none" strike="noStrike">
                    <a:solidFill>
                      <a:srgbClr val="000000"/>
                    </a:solidFill>
                    <a:latin typeface="Calibri"/>
                  </a:rPr>
                  <a:pPr algn="ctr"/>
                  <a:t> </a:t>
                </a:fld>
                <a:endParaRPr lang="en-US" sz="1100" b="0" i="0" u="none" strike="noStrike">
                  <a:solidFill>
                    <a:srgbClr val="000000"/>
                  </a:solidFill>
                  <a:latin typeface="Calibri"/>
                </a:endParaRPr>
              </a:p>
            </xdr:txBody>
          </xdr:sp>
          <xdr:cxnSp macro="">
            <xdr:nvCxnSpPr>
              <xdr:cNvPr id="35" name="Straight Connector 34">
                <a:extLst>
                  <a:ext uri="{FF2B5EF4-FFF2-40B4-BE49-F238E27FC236}">
                    <a16:creationId xmlns:a16="http://schemas.microsoft.com/office/drawing/2014/main" id="{00000000-0008-0000-0E00-000023000000}"/>
                  </a:ext>
                </a:extLst>
              </xdr:cNvPr>
              <xdr:cNvCxnSpPr/>
            </xdr:nvCxnSpPr>
            <xdr:spPr>
              <a:xfrm flipV="1">
                <a:off x="154324" y="4654011"/>
                <a:ext cx="2773205" cy="0"/>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6" name="Straight Connector 35">
                <a:extLst>
                  <a:ext uri="{FF2B5EF4-FFF2-40B4-BE49-F238E27FC236}">
                    <a16:creationId xmlns:a16="http://schemas.microsoft.com/office/drawing/2014/main" id="{00000000-0008-0000-0E00-000024000000}"/>
                  </a:ext>
                </a:extLst>
              </xdr:cNvPr>
              <xdr:cNvCxnSpPr/>
            </xdr:nvCxnSpPr>
            <xdr:spPr>
              <a:xfrm flipV="1">
                <a:off x="1740375" y="4446469"/>
                <a:ext cx="0" cy="1325880"/>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grpSp>
        <xdr:cxnSp macro="">
          <xdr:nvCxnSpPr>
            <xdr:cNvPr id="6" name="Straight Connector 5">
              <a:extLst>
                <a:ext uri="{FF2B5EF4-FFF2-40B4-BE49-F238E27FC236}">
                  <a16:creationId xmlns:a16="http://schemas.microsoft.com/office/drawing/2014/main" id="{00000000-0008-0000-0E00-000006000000}"/>
                </a:ext>
              </a:extLst>
            </xdr:cNvPr>
            <xdr:cNvCxnSpPr/>
          </xdr:nvCxnSpPr>
          <xdr:spPr>
            <a:xfrm flipV="1">
              <a:off x="2319223" y="4451976"/>
              <a:ext cx="0" cy="1316736"/>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grpSp>
      <xdr:sp macro="" textlink="Other!Q14">
        <xdr:nvSpPr>
          <xdr:cNvPr id="87" name="TextBox 86">
            <a:extLst>
              <a:ext uri="{FF2B5EF4-FFF2-40B4-BE49-F238E27FC236}">
                <a16:creationId xmlns:a16="http://schemas.microsoft.com/office/drawing/2014/main" id="{00000000-0008-0000-0E00-000057000000}"/>
              </a:ext>
            </a:extLst>
          </xdr:cNvPr>
          <xdr:cNvSpPr txBox="1"/>
        </xdr:nvSpPr>
        <xdr:spPr>
          <a:xfrm>
            <a:off x="1753882" y="4591434"/>
            <a:ext cx="639933"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fld id="{6E62E036-A1ED-4432-B8BD-51863994EA66}" type="TxLink">
              <a:rPr lang="en-US" sz="1100" b="0" i="0" u="none" strike="noStrike">
                <a:solidFill>
                  <a:srgbClr val="000000"/>
                </a:solidFill>
                <a:latin typeface="Calibri"/>
              </a:rPr>
              <a:pPr algn="ctr"/>
              <a:t>6/1/16</a:t>
            </a:fld>
            <a:endParaRPr lang="en-US" sz="1100" b="0" i="0" u="none" strike="noStrike">
              <a:solidFill>
                <a:srgbClr val="000000"/>
              </a:solidFill>
              <a:latin typeface="Calibri"/>
            </a:endParaRPr>
          </a:p>
        </xdr:txBody>
      </xdr:sp>
    </xdr:grpSp>
    <xdr:clientData/>
  </xdr:twoCellAnchor>
  <xdr:twoCellAnchor>
    <xdr:from>
      <xdr:col>23</xdr:col>
      <xdr:colOff>24255</xdr:colOff>
      <xdr:row>20</xdr:row>
      <xdr:rowOff>38639</xdr:rowOff>
    </xdr:from>
    <xdr:to>
      <xdr:col>42</xdr:col>
      <xdr:colOff>164783</xdr:colOff>
      <xdr:row>33</xdr:row>
      <xdr:rowOff>156163</xdr:rowOff>
    </xdr:to>
    <xdr:grpSp>
      <xdr:nvGrpSpPr>
        <xdr:cNvPr id="89" name="Group 88">
          <a:extLst>
            <a:ext uri="{FF2B5EF4-FFF2-40B4-BE49-F238E27FC236}">
              <a16:creationId xmlns:a16="http://schemas.microsoft.com/office/drawing/2014/main" id="{00000000-0008-0000-0E00-000059000000}"/>
            </a:ext>
          </a:extLst>
        </xdr:cNvPr>
        <xdr:cNvGrpSpPr/>
      </xdr:nvGrpSpPr>
      <xdr:grpSpPr>
        <a:xfrm>
          <a:off x="4791228" y="4055704"/>
          <a:ext cx="4703582" cy="2594024"/>
          <a:chOff x="4183840" y="3431762"/>
          <a:chExt cx="3881909" cy="2593655"/>
        </a:xfrm>
      </xdr:grpSpPr>
      <xdr:grpSp>
        <xdr:nvGrpSpPr>
          <xdr:cNvPr id="81" name="Group 80">
            <a:extLst>
              <a:ext uri="{FF2B5EF4-FFF2-40B4-BE49-F238E27FC236}">
                <a16:creationId xmlns:a16="http://schemas.microsoft.com/office/drawing/2014/main" id="{00000000-0008-0000-0E00-000051000000}"/>
              </a:ext>
            </a:extLst>
          </xdr:cNvPr>
          <xdr:cNvGrpSpPr/>
        </xdr:nvGrpSpPr>
        <xdr:grpSpPr>
          <a:xfrm>
            <a:off x="4183840" y="3431762"/>
            <a:ext cx="3773013" cy="2593655"/>
            <a:chOff x="4183840" y="3431762"/>
            <a:chExt cx="3773013" cy="2593655"/>
          </a:xfrm>
        </xdr:grpSpPr>
        <xdr:grpSp>
          <xdr:nvGrpSpPr>
            <xdr:cNvPr id="43" name="Group 42">
              <a:extLst>
                <a:ext uri="{FF2B5EF4-FFF2-40B4-BE49-F238E27FC236}">
                  <a16:creationId xmlns:a16="http://schemas.microsoft.com/office/drawing/2014/main" id="{00000000-0008-0000-0E00-00002B000000}"/>
                </a:ext>
              </a:extLst>
            </xdr:cNvPr>
            <xdr:cNvGrpSpPr/>
          </xdr:nvGrpSpPr>
          <xdr:grpSpPr>
            <a:xfrm>
              <a:off x="4183840" y="3431762"/>
              <a:ext cx="3773013" cy="2593655"/>
              <a:chOff x="4211446" y="3429432"/>
              <a:chExt cx="3791749" cy="2593655"/>
            </a:xfrm>
          </xdr:grpSpPr>
          <xdr:grpSp>
            <xdr:nvGrpSpPr>
              <xdr:cNvPr id="40" name="Group 39">
                <a:extLst>
                  <a:ext uri="{FF2B5EF4-FFF2-40B4-BE49-F238E27FC236}">
                    <a16:creationId xmlns:a16="http://schemas.microsoft.com/office/drawing/2014/main" id="{00000000-0008-0000-0E00-000028000000}"/>
                  </a:ext>
                </a:extLst>
              </xdr:cNvPr>
              <xdr:cNvGrpSpPr/>
            </xdr:nvGrpSpPr>
            <xdr:grpSpPr>
              <a:xfrm>
                <a:off x="4211446" y="3429432"/>
                <a:ext cx="3791749" cy="2593655"/>
                <a:chOff x="4211446" y="3429432"/>
                <a:chExt cx="3791749" cy="2593655"/>
              </a:xfrm>
            </xdr:grpSpPr>
            <xdr:grpSp>
              <xdr:nvGrpSpPr>
                <xdr:cNvPr id="39" name="Group 38">
                  <a:extLst>
                    <a:ext uri="{FF2B5EF4-FFF2-40B4-BE49-F238E27FC236}">
                      <a16:creationId xmlns:a16="http://schemas.microsoft.com/office/drawing/2014/main" id="{00000000-0008-0000-0E00-000027000000}"/>
                    </a:ext>
                  </a:extLst>
                </xdr:cNvPr>
                <xdr:cNvGrpSpPr/>
              </xdr:nvGrpSpPr>
              <xdr:grpSpPr>
                <a:xfrm>
                  <a:off x="4211446" y="3429432"/>
                  <a:ext cx="3791749" cy="2593655"/>
                  <a:chOff x="4211446" y="3429432"/>
                  <a:chExt cx="3791749" cy="2593655"/>
                </a:xfrm>
              </xdr:grpSpPr>
              <xdr:grpSp>
                <xdr:nvGrpSpPr>
                  <xdr:cNvPr id="8" name="Group 7">
                    <a:extLst>
                      <a:ext uri="{FF2B5EF4-FFF2-40B4-BE49-F238E27FC236}">
                        <a16:creationId xmlns:a16="http://schemas.microsoft.com/office/drawing/2014/main" id="{00000000-0008-0000-0E00-000008000000}"/>
                      </a:ext>
                    </a:extLst>
                  </xdr:cNvPr>
                  <xdr:cNvGrpSpPr/>
                </xdr:nvGrpSpPr>
                <xdr:grpSpPr>
                  <a:xfrm>
                    <a:off x="4211446" y="3429432"/>
                    <a:ext cx="3791749" cy="2593655"/>
                    <a:chOff x="4580089" y="3404918"/>
                    <a:chExt cx="4148713" cy="2593655"/>
                  </a:xfrm>
                </xdr:grpSpPr>
                <xdr:grpSp>
                  <xdr:nvGrpSpPr>
                    <xdr:cNvPr id="169" name="Group 168">
                      <a:extLst>
                        <a:ext uri="{FF2B5EF4-FFF2-40B4-BE49-F238E27FC236}">
                          <a16:creationId xmlns:a16="http://schemas.microsoft.com/office/drawing/2014/main" id="{00000000-0008-0000-0E00-0000A9000000}"/>
                        </a:ext>
                      </a:extLst>
                    </xdr:cNvPr>
                    <xdr:cNvGrpSpPr/>
                  </xdr:nvGrpSpPr>
                  <xdr:grpSpPr>
                    <a:xfrm>
                      <a:off x="4580089" y="3404918"/>
                      <a:ext cx="4148713" cy="2593655"/>
                      <a:chOff x="5114955" y="3226964"/>
                      <a:chExt cx="4148713" cy="2592887"/>
                    </a:xfrm>
                  </xdr:grpSpPr>
                  <xdr:grpSp>
                    <xdr:nvGrpSpPr>
                      <xdr:cNvPr id="152" name="Group 151">
                        <a:extLst>
                          <a:ext uri="{FF2B5EF4-FFF2-40B4-BE49-F238E27FC236}">
                            <a16:creationId xmlns:a16="http://schemas.microsoft.com/office/drawing/2014/main" id="{00000000-0008-0000-0E00-000098000000}"/>
                          </a:ext>
                        </a:extLst>
                      </xdr:cNvPr>
                      <xdr:cNvGrpSpPr/>
                    </xdr:nvGrpSpPr>
                    <xdr:grpSpPr>
                      <a:xfrm>
                        <a:off x="5114955" y="3226964"/>
                        <a:ext cx="4126071" cy="2592887"/>
                        <a:chOff x="5173434" y="3220248"/>
                        <a:chExt cx="4178245" cy="2592887"/>
                      </a:xfrm>
                    </xdr:grpSpPr>
                    <xdr:grpSp>
                      <xdr:nvGrpSpPr>
                        <xdr:cNvPr id="149" name="Group 148">
                          <a:extLst>
                            <a:ext uri="{FF2B5EF4-FFF2-40B4-BE49-F238E27FC236}">
                              <a16:creationId xmlns:a16="http://schemas.microsoft.com/office/drawing/2014/main" id="{00000000-0008-0000-0E00-000095000000}"/>
                            </a:ext>
                          </a:extLst>
                        </xdr:cNvPr>
                        <xdr:cNvGrpSpPr/>
                      </xdr:nvGrpSpPr>
                      <xdr:grpSpPr>
                        <a:xfrm>
                          <a:off x="5173434" y="3220248"/>
                          <a:ext cx="4178245" cy="2592887"/>
                          <a:chOff x="5148096" y="3225010"/>
                          <a:chExt cx="4153044" cy="2592887"/>
                        </a:xfrm>
                      </xdr:grpSpPr>
                      <xdr:grpSp>
                        <xdr:nvGrpSpPr>
                          <xdr:cNvPr id="136" name="Group 135">
                            <a:extLst>
                              <a:ext uri="{FF2B5EF4-FFF2-40B4-BE49-F238E27FC236}">
                                <a16:creationId xmlns:a16="http://schemas.microsoft.com/office/drawing/2014/main" id="{00000000-0008-0000-0E00-000088000000}"/>
                              </a:ext>
                            </a:extLst>
                          </xdr:cNvPr>
                          <xdr:cNvGrpSpPr/>
                        </xdr:nvGrpSpPr>
                        <xdr:grpSpPr>
                          <a:xfrm>
                            <a:off x="5148096" y="3225010"/>
                            <a:ext cx="4153044" cy="2592887"/>
                            <a:chOff x="5148096" y="3225010"/>
                            <a:chExt cx="4153044" cy="2592887"/>
                          </a:xfrm>
                        </xdr:grpSpPr>
                        <xdr:grpSp>
                          <xdr:nvGrpSpPr>
                            <xdr:cNvPr id="42" name="Group 41">
                              <a:extLst>
                                <a:ext uri="{FF2B5EF4-FFF2-40B4-BE49-F238E27FC236}">
                                  <a16:creationId xmlns:a16="http://schemas.microsoft.com/office/drawing/2014/main" id="{00000000-0008-0000-0E00-00002A000000}"/>
                                </a:ext>
                              </a:extLst>
                            </xdr:cNvPr>
                            <xdr:cNvGrpSpPr/>
                          </xdr:nvGrpSpPr>
                          <xdr:grpSpPr>
                            <a:xfrm>
                              <a:off x="5148097" y="3225010"/>
                              <a:ext cx="4153043" cy="2592887"/>
                              <a:chOff x="5779891" y="3232933"/>
                              <a:chExt cx="4129099" cy="2592887"/>
                            </a:xfrm>
                          </xdr:grpSpPr>
                          <xdr:grpSp>
                            <xdr:nvGrpSpPr>
                              <xdr:cNvPr id="44" name="Group 43">
                                <a:extLst>
                                  <a:ext uri="{FF2B5EF4-FFF2-40B4-BE49-F238E27FC236}">
                                    <a16:creationId xmlns:a16="http://schemas.microsoft.com/office/drawing/2014/main" id="{00000000-0008-0000-0E00-00002C000000}"/>
                                  </a:ext>
                                </a:extLst>
                              </xdr:cNvPr>
                              <xdr:cNvGrpSpPr/>
                            </xdr:nvGrpSpPr>
                            <xdr:grpSpPr>
                              <a:xfrm>
                                <a:off x="5779891" y="3232933"/>
                                <a:ext cx="4129099" cy="2592887"/>
                                <a:chOff x="5779891" y="3232933"/>
                                <a:chExt cx="4129099" cy="2592887"/>
                              </a:xfrm>
                            </xdr:grpSpPr>
                            <xdr:grpSp>
                              <xdr:nvGrpSpPr>
                                <xdr:cNvPr id="46" name="Group 45">
                                  <a:extLst>
                                    <a:ext uri="{FF2B5EF4-FFF2-40B4-BE49-F238E27FC236}">
                                      <a16:creationId xmlns:a16="http://schemas.microsoft.com/office/drawing/2014/main" id="{00000000-0008-0000-0E00-00002E000000}"/>
                                    </a:ext>
                                  </a:extLst>
                                </xdr:cNvPr>
                                <xdr:cNvGrpSpPr/>
                              </xdr:nvGrpSpPr>
                              <xdr:grpSpPr>
                                <a:xfrm>
                                  <a:off x="5779892" y="3232933"/>
                                  <a:ext cx="4129098" cy="2592887"/>
                                  <a:chOff x="6020887" y="4505258"/>
                                  <a:chExt cx="4151934" cy="2162538"/>
                                </a:xfrm>
                              </xdr:grpSpPr>
                              <xdr:grpSp>
                                <xdr:nvGrpSpPr>
                                  <xdr:cNvPr id="64" name="Group 63">
                                    <a:extLst>
                                      <a:ext uri="{FF2B5EF4-FFF2-40B4-BE49-F238E27FC236}">
                                        <a16:creationId xmlns:a16="http://schemas.microsoft.com/office/drawing/2014/main" id="{00000000-0008-0000-0E00-000040000000}"/>
                                      </a:ext>
                                    </a:extLst>
                                  </xdr:cNvPr>
                                  <xdr:cNvGrpSpPr/>
                                </xdr:nvGrpSpPr>
                                <xdr:grpSpPr>
                                  <a:xfrm>
                                    <a:off x="6020887" y="4505258"/>
                                    <a:ext cx="4151934" cy="2162538"/>
                                    <a:chOff x="658330" y="3536533"/>
                                    <a:chExt cx="4125986" cy="2162538"/>
                                  </a:xfrm>
                                </xdr:grpSpPr>
                                <xdr:grpSp>
                                  <xdr:nvGrpSpPr>
                                    <xdr:cNvPr id="66" name="Group 65">
                                      <a:extLst>
                                        <a:ext uri="{FF2B5EF4-FFF2-40B4-BE49-F238E27FC236}">
                                          <a16:creationId xmlns:a16="http://schemas.microsoft.com/office/drawing/2014/main" id="{00000000-0008-0000-0E00-000042000000}"/>
                                        </a:ext>
                                      </a:extLst>
                                    </xdr:cNvPr>
                                    <xdr:cNvGrpSpPr/>
                                  </xdr:nvGrpSpPr>
                                  <xdr:grpSpPr>
                                    <a:xfrm>
                                      <a:off x="658330" y="3536533"/>
                                      <a:ext cx="4125986" cy="2141239"/>
                                      <a:chOff x="1452080" y="4399074"/>
                                      <a:chExt cx="4125986" cy="2141239"/>
                                    </a:xfrm>
                                  </xdr:grpSpPr>
                                  <xdr:grpSp>
                                    <xdr:nvGrpSpPr>
                                      <xdr:cNvPr id="69" name="Group 68">
                                        <a:extLst>
                                          <a:ext uri="{FF2B5EF4-FFF2-40B4-BE49-F238E27FC236}">
                                            <a16:creationId xmlns:a16="http://schemas.microsoft.com/office/drawing/2014/main" id="{00000000-0008-0000-0E00-000045000000}"/>
                                          </a:ext>
                                        </a:extLst>
                                      </xdr:cNvPr>
                                      <xdr:cNvGrpSpPr/>
                                    </xdr:nvGrpSpPr>
                                    <xdr:grpSpPr>
                                      <a:xfrm>
                                        <a:off x="1452080" y="4399074"/>
                                        <a:ext cx="4125986" cy="2141239"/>
                                        <a:chOff x="679497" y="4393783"/>
                                        <a:chExt cx="4125986" cy="2141239"/>
                                      </a:xfrm>
                                    </xdr:grpSpPr>
                                    <xdr:grpSp>
                                      <xdr:nvGrpSpPr>
                                        <xdr:cNvPr id="74" name="Group 73">
                                          <a:extLst>
                                            <a:ext uri="{FF2B5EF4-FFF2-40B4-BE49-F238E27FC236}">
                                              <a16:creationId xmlns:a16="http://schemas.microsoft.com/office/drawing/2014/main" id="{00000000-0008-0000-0E00-00004A000000}"/>
                                            </a:ext>
                                          </a:extLst>
                                        </xdr:cNvPr>
                                        <xdr:cNvGrpSpPr/>
                                      </xdr:nvGrpSpPr>
                                      <xdr:grpSpPr>
                                        <a:xfrm>
                                          <a:off x="679497" y="4393783"/>
                                          <a:ext cx="4125986" cy="2141239"/>
                                          <a:chOff x="6429698" y="2957049"/>
                                          <a:chExt cx="4090248" cy="3179411"/>
                                        </a:xfrm>
                                      </xdr:grpSpPr>
                                      <xdr:grpSp>
                                        <xdr:nvGrpSpPr>
                                          <xdr:cNvPr id="76" name="Group 75">
                                            <a:extLst>
                                              <a:ext uri="{FF2B5EF4-FFF2-40B4-BE49-F238E27FC236}">
                                                <a16:creationId xmlns:a16="http://schemas.microsoft.com/office/drawing/2014/main" id="{00000000-0008-0000-0E00-00004C000000}"/>
                                              </a:ext>
                                            </a:extLst>
                                          </xdr:cNvPr>
                                          <xdr:cNvGrpSpPr/>
                                        </xdr:nvGrpSpPr>
                                        <xdr:grpSpPr>
                                          <a:xfrm>
                                            <a:off x="6455133" y="2957049"/>
                                            <a:ext cx="4064813" cy="3179411"/>
                                            <a:chOff x="6455133" y="2957049"/>
                                            <a:chExt cx="4064813" cy="3179411"/>
                                          </a:xfrm>
                                        </xdr:grpSpPr>
                                        <xdr:grpSp>
                                          <xdr:nvGrpSpPr>
                                            <xdr:cNvPr id="80" name="Group 79">
                                              <a:extLst>
                                                <a:ext uri="{FF2B5EF4-FFF2-40B4-BE49-F238E27FC236}">
                                                  <a16:creationId xmlns:a16="http://schemas.microsoft.com/office/drawing/2014/main" id="{00000000-0008-0000-0E00-000050000000}"/>
                                                </a:ext>
                                              </a:extLst>
                                            </xdr:cNvPr>
                                            <xdr:cNvGrpSpPr/>
                                          </xdr:nvGrpSpPr>
                                          <xdr:grpSpPr>
                                            <a:xfrm>
                                              <a:off x="6455133" y="2957049"/>
                                              <a:ext cx="4064813" cy="3179411"/>
                                              <a:chOff x="10382111" y="3335386"/>
                                              <a:chExt cx="2712859" cy="2487008"/>
                                            </a:xfrm>
                                          </xdr:grpSpPr>
                                          <xdr:sp macro="" textlink="">
                                            <xdr:nvSpPr>
                                              <xdr:cNvPr id="84" name="Rectangle 83">
                                                <a:extLst>
                                                  <a:ext uri="{FF2B5EF4-FFF2-40B4-BE49-F238E27FC236}">
                                                    <a16:creationId xmlns:a16="http://schemas.microsoft.com/office/drawing/2014/main" id="{00000000-0008-0000-0E00-000054000000}"/>
                                                  </a:ext>
                                                </a:extLst>
                                              </xdr:cNvPr>
                                              <xdr:cNvSpPr/>
                                            </xdr:nvSpPr>
                                            <xdr:spPr>
                                              <a:xfrm>
                                                <a:off x="10382111" y="3337250"/>
                                                <a:ext cx="2712859" cy="2485144"/>
                                              </a:xfrm>
                                              <a:prstGeom prst="rect">
                                                <a:avLst/>
                                              </a:prstGeom>
                                              <a:solidFill>
                                                <a:sysClr val="window" lastClr="FFFFFF"/>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5" name="TextBox 84">
                                                <a:extLst>
                                                  <a:ext uri="{FF2B5EF4-FFF2-40B4-BE49-F238E27FC236}">
                                                    <a16:creationId xmlns:a16="http://schemas.microsoft.com/office/drawing/2014/main" id="{00000000-0008-0000-0E00-000055000000}"/>
                                                  </a:ext>
                                                </a:extLst>
                                              </xdr:cNvPr>
                                              <xdr:cNvSpPr txBox="1"/>
                                            </xdr:nvSpPr>
                                            <xdr:spPr>
                                              <a:xfrm>
                                                <a:off x="10880480" y="3335386"/>
                                                <a:ext cx="1769249" cy="2073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r>
                                                  <a:rPr lang="en-US" sz="1100" b="0" i="0" u="none" strike="noStrike" baseline="0">
                                                    <a:solidFill>
                                                      <a:srgbClr val="000000"/>
                                                    </a:solidFill>
                                                    <a:latin typeface="Calibri"/>
                                                  </a:rPr>
                                                  <a:t>Traffic Signal Timing During RR Preemption</a:t>
                                                </a:r>
                                                <a:endParaRPr lang="en-US" sz="1100" b="0" i="0" u="none" strike="noStrike">
                                                  <a:solidFill>
                                                    <a:srgbClr val="000000"/>
                                                  </a:solidFill>
                                                  <a:latin typeface="Calibri"/>
                                                </a:endParaRPr>
                                              </a:p>
                                            </xdr:txBody>
                                          </xdr:sp>
                                        </xdr:grpSp>
                                        <xdr:sp macro="" textlink="Other!Z4">
                                          <xdr:nvSpPr>
                                            <xdr:cNvPr id="82" name="TextBox 81">
                                              <a:extLst>
                                                <a:ext uri="{FF2B5EF4-FFF2-40B4-BE49-F238E27FC236}">
                                                  <a16:creationId xmlns:a16="http://schemas.microsoft.com/office/drawing/2014/main" id="{00000000-0008-0000-0E00-000052000000}"/>
                                                </a:ext>
                                              </a:extLst>
                                            </xdr:cNvPr>
                                            <xdr:cNvSpPr txBox="1"/>
                                          </xdr:nvSpPr>
                                          <xdr:spPr>
                                            <a:xfrm>
                                              <a:off x="8675992" y="3748725"/>
                                              <a:ext cx="931984" cy="2266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fld id="{DF029AF6-7CD1-49BE-BBA5-1930177720A9}" type="TxLink">
                                                <a:rPr lang="en-US" sz="1100" b="0" i="0" u="none" strike="noStrike">
                                                  <a:solidFill>
                                                    <a:srgbClr val="000000"/>
                                                  </a:solidFill>
                                                  <a:latin typeface="Calibri"/>
                                                </a:rPr>
                                                <a:pPr algn="ctr"/>
                                                <a:t> </a:t>
                                              </a:fld>
                                              <a:endParaRPr lang="en-US" sz="1100" b="0" i="0" u="none" strike="noStrike">
                                                <a:solidFill>
                                                  <a:srgbClr val="000000"/>
                                                </a:solidFill>
                                                <a:latin typeface="Calibri"/>
                                              </a:endParaRPr>
                                            </a:p>
                                          </xdr:txBody>
                                        </xdr:sp>
                                        <xdr:sp macro="" textlink="Other!Z7">
                                          <xdr:nvSpPr>
                                            <xdr:cNvPr id="83" name="TextBox 82">
                                              <a:extLst>
                                                <a:ext uri="{FF2B5EF4-FFF2-40B4-BE49-F238E27FC236}">
                                                  <a16:creationId xmlns:a16="http://schemas.microsoft.com/office/drawing/2014/main" id="{00000000-0008-0000-0E00-000053000000}"/>
                                                </a:ext>
                                              </a:extLst>
                                            </xdr:cNvPr>
                                            <xdr:cNvSpPr txBox="1"/>
                                          </xdr:nvSpPr>
                                          <xdr:spPr>
                                            <a:xfrm>
                                              <a:off x="8849220" y="3928815"/>
                                              <a:ext cx="585528" cy="2266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fld id="{D6D33CF9-A7F1-4F19-8C62-ED49C94391BA}" type="TxLink">
                                                <a:rPr lang="en-US" sz="1100" b="0" i="0" u="none" strike="noStrike">
                                                  <a:solidFill>
                                                    <a:srgbClr val="000000"/>
                                                  </a:solidFill>
                                                  <a:latin typeface="Calibri"/>
                                                </a:rPr>
                                                <a:pPr algn="ctr"/>
                                                <a:t> </a:t>
                                              </a:fld>
                                              <a:endParaRPr lang="en-US" sz="1100" b="0" i="0" u="none" strike="noStrike">
                                                <a:solidFill>
                                                  <a:srgbClr val="000000"/>
                                                </a:solidFill>
                                                <a:latin typeface="Calibri"/>
                                              </a:endParaRPr>
                                            </a:p>
                                          </xdr:txBody>
                                        </xdr:sp>
                                      </xdr:grpSp>
                                      <xdr:grpSp>
                                        <xdr:nvGrpSpPr>
                                          <xdr:cNvPr id="77" name="Group 76">
                                            <a:extLst>
                                              <a:ext uri="{FF2B5EF4-FFF2-40B4-BE49-F238E27FC236}">
                                                <a16:creationId xmlns:a16="http://schemas.microsoft.com/office/drawing/2014/main" id="{00000000-0008-0000-0E00-00004D000000}"/>
                                              </a:ext>
                                            </a:extLst>
                                          </xdr:cNvPr>
                                          <xdr:cNvGrpSpPr/>
                                        </xdr:nvGrpSpPr>
                                        <xdr:grpSpPr>
                                          <a:xfrm>
                                            <a:off x="6429698" y="3928889"/>
                                            <a:ext cx="1103991" cy="406570"/>
                                            <a:chOff x="6429698" y="3928889"/>
                                            <a:chExt cx="1103991" cy="406570"/>
                                          </a:xfrm>
                                        </xdr:grpSpPr>
                                        <xdr:sp macro="" textlink="">
                                          <xdr:nvSpPr>
                                            <xdr:cNvPr id="78" name="TextBox 77">
                                              <a:extLst>
                                                <a:ext uri="{FF2B5EF4-FFF2-40B4-BE49-F238E27FC236}">
                                                  <a16:creationId xmlns:a16="http://schemas.microsoft.com/office/drawing/2014/main" id="{00000000-0008-0000-0E00-00004E000000}"/>
                                                </a:ext>
                                              </a:extLst>
                                            </xdr:cNvPr>
                                            <xdr:cNvSpPr txBox="1"/>
                                          </xdr:nvSpPr>
                                          <xdr:spPr>
                                            <a:xfrm>
                                              <a:off x="6429698" y="3928889"/>
                                              <a:ext cx="1103991" cy="2264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l"/>
                                              <a:r>
                                                <a:rPr lang="en-US" sz="1100" b="0" i="0" u="none" strike="noStrike">
                                                  <a:solidFill>
                                                    <a:srgbClr val="000000"/>
                                                  </a:solidFill>
                                                  <a:latin typeface="Calibri"/>
                                                </a:rPr>
                                                <a:t>Preempt Delay</a:t>
                                              </a:r>
                                            </a:p>
                                          </xdr:txBody>
                                        </xdr:sp>
                                        <xdr:sp macro="" textlink="">
                                          <xdr:nvSpPr>
                                            <xdr:cNvPr id="79" name="TextBox 78">
                                              <a:extLst>
                                                <a:ext uri="{FF2B5EF4-FFF2-40B4-BE49-F238E27FC236}">
                                                  <a16:creationId xmlns:a16="http://schemas.microsoft.com/office/drawing/2014/main" id="{00000000-0008-0000-0E00-00004F000000}"/>
                                                </a:ext>
                                              </a:extLst>
                                            </xdr:cNvPr>
                                            <xdr:cNvSpPr txBox="1"/>
                                          </xdr:nvSpPr>
                                          <xdr:spPr>
                                            <a:xfrm>
                                              <a:off x="6429698" y="4108970"/>
                                              <a:ext cx="969819" cy="2264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l"/>
                                              <a:r>
                                                <a:rPr lang="en-US" sz="1100" b="0" i="0" u="none" strike="noStrike">
                                                  <a:solidFill>
                                                    <a:srgbClr val="000000"/>
                                                  </a:solidFill>
                                                  <a:latin typeface="Calibri"/>
                                                </a:rPr>
                                                <a:t>TCG</a:t>
                                              </a:r>
                                            </a:p>
                                          </xdr:txBody>
                                        </xdr:sp>
                                      </xdr:grpSp>
                                    </xdr:grpSp>
                                    <xdr:sp macro="" textlink="Other!Y4">
                                      <xdr:nvSpPr>
                                        <xdr:cNvPr id="72" name="TextBox 71">
                                          <a:extLst>
                                            <a:ext uri="{FF2B5EF4-FFF2-40B4-BE49-F238E27FC236}">
                                              <a16:creationId xmlns:a16="http://schemas.microsoft.com/office/drawing/2014/main" id="{00000000-0008-0000-0E00-000048000000}"/>
                                            </a:ext>
                                          </a:extLst>
                                        </xdr:cNvPr>
                                        <xdr:cNvSpPr txBox="1"/>
                                      </xdr:nvSpPr>
                                      <xdr:spPr>
                                        <a:xfrm>
                                          <a:off x="1943917" y="4926952"/>
                                          <a:ext cx="959313" cy="1526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rIns="0" rtlCol="0" anchor="ctr"/>
                                        <a:lstStyle/>
                                        <a:p>
                                          <a:pPr algn="ctr"/>
                                          <a:fld id="{A82A1CC8-7D39-4FB1-B72E-64616E3D87CE}" type="TxLink">
                                            <a:rPr lang="en-US" sz="1100" b="0" i="0" u="none" strike="noStrike">
                                              <a:solidFill>
                                                <a:srgbClr val="000000"/>
                                              </a:solidFill>
                                              <a:latin typeface="Calibri"/>
                                            </a:rPr>
                                            <a:pPr algn="ctr"/>
                                            <a:t>-</a:t>
                                          </a:fld>
                                          <a:endParaRPr lang="en-US" sz="1100" b="0" i="0" u="none" strike="noStrike">
                                            <a:solidFill>
                                              <a:srgbClr val="000000"/>
                                            </a:solidFill>
                                            <a:latin typeface="Calibri"/>
                                          </a:endParaRPr>
                                        </a:p>
                                      </xdr:txBody>
                                    </xdr:sp>
                                    <xdr:sp macro="" textlink="Other!Y7">
                                      <xdr:nvSpPr>
                                        <xdr:cNvPr id="73" name="TextBox 72">
                                          <a:extLst>
                                            <a:ext uri="{FF2B5EF4-FFF2-40B4-BE49-F238E27FC236}">
                                              <a16:creationId xmlns:a16="http://schemas.microsoft.com/office/drawing/2014/main" id="{00000000-0008-0000-0E00-000049000000}"/>
                                            </a:ext>
                                          </a:extLst>
                                        </xdr:cNvPr>
                                        <xdr:cNvSpPr txBox="1"/>
                                      </xdr:nvSpPr>
                                      <xdr:spPr>
                                        <a:xfrm>
                                          <a:off x="2114270" y="5048236"/>
                                          <a:ext cx="618606" cy="1526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fld id="{40048E6D-C460-4F18-9286-5183FC924B6B}" type="TxLink">
                                            <a:rPr lang="en-US" sz="1100" b="0" i="0" u="none" strike="noStrike">
                                              <a:solidFill>
                                                <a:srgbClr val="000000"/>
                                              </a:solidFill>
                                              <a:latin typeface="Calibri"/>
                                            </a:rPr>
                                            <a:pPr algn="ctr"/>
                                            <a:t>0 sec</a:t>
                                          </a:fld>
                                          <a:endParaRPr lang="en-US" sz="1100" b="0" i="0" u="none" strike="noStrike">
                                            <a:solidFill>
                                              <a:srgbClr val="000000"/>
                                            </a:solidFill>
                                            <a:latin typeface="Calibri"/>
                                          </a:endParaRPr>
                                        </a:p>
                                      </xdr:txBody>
                                    </xdr:sp>
                                  </xdr:grpSp>
                                  <xdr:cxnSp macro="">
                                    <xdr:nvCxnSpPr>
                                      <xdr:cNvPr id="70" name="Straight Connector 69">
                                        <a:extLst>
                                          <a:ext uri="{FF2B5EF4-FFF2-40B4-BE49-F238E27FC236}">
                                            <a16:creationId xmlns:a16="http://schemas.microsoft.com/office/drawing/2014/main" id="{00000000-0008-0000-0E00-000046000000}"/>
                                          </a:ext>
                                        </a:extLst>
                                      </xdr:cNvPr>
                                      <xdr:cNvCxnSpPr/>
                                    </xdr:nvCxnSpPr>
                                    <xdr:spPr>
                                      <a:xfrm flipV="1">
                                        <a:off x="1476965" y="4571567"/>
                                        <a:ext cx="4090124" cy="0"/>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grpSp>
                                <xdr:cxnSp macro="">
                                  <xdr:nvCxnSpPr>
                                    <xdr:cNvPr id="67" name="Straight Connector 66">
                                      <a:extLst>
                                        <a:ext uri="{FF2B5EF4-FFF2-40B4-BE49-F238E27FC236}">
                                          <a16:creationId xmlns:a16="http://schemas.microsoft.com/office/drawing/2014/main" id="{00000000-0008-0000-0E00-000043000000}"/>
                                        </a:ext>
                                      </a:extLst>
                                    </xdr:cNvPr>
                                    <xdr:cNvCxnSpPr/>
                                  </xdr:nvCxnSpPr>
                                  <xdr:spPr>
                                    <a:xfrm flipV="1">
                                      <a:off x="1912481" y="3710210"/>
                                      <a:ext cx="0" cy="1981984"/>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8" name="Straight Connector 67">
                                      <a:extLst>
                                        <a:ext uri="{FF2B5EF4-FFF2-40B4-BE49-F238E27FC236}">
                                          <a16:creationId xmlns:a16="http://schemas.microsoft.com/office/drawing/2014/main" id="{00000000-0008-0000-0E00-000044000000}"/>
                                        </a:ext>
                                      </a:extLst>
                                    </xdr:cNvPr>
                                    <xdr:cNvCxnSpPr/>
                                  </xdr:nvCxnSpPr>
                                  <xdr:spPr>
                                    <a:xfrm flipV="1">
                                      <a:off x="2904923" y="3717087"/>
                                      <a:ext cx="0" cy="1981984"/>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grpSp>
                              <xdr:sp macro="" textlink="Other!Y19">
                                <xdr:nvSpPr>
                                  <xdr:cNvPr id="65" name="TextBox 64">
                                    <a:extLst>
                                      <a:ext uri="{FF2B5EF4-FFF2-40B4-BE49-F238E27FC236}">
                                        <a16:creationId xmlns:a16="http://schemas.microsoft.com/office/drawing/2014/main" id="{00000000-0008-0000-0E00-000041000000}"/>
                                      </a:ext>
                                    </a:extLst>
                                  </xdr:cNvPr>
                                  <xdr:cNvSpPr txBox="1"/>
                                </xdr:nvSpPr>
                                <xdr:spPr>
                                  <a:xfrm>
                                    <a:off x="7442909" y="4917142"/>
                                    <a:ext cx="666045" cy="1526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fld id="{66DDB209-0AC6-452E-B5AE-33B57F504023}" type="TxLink">
                                      <a:rPr lang="en-US" sz="1100" b="0" i="0" u="none" strike="noStrike">
                                        <a:solidFill>
                                          <a:srgbClr val="000000"/>
                                        </a:solidFill>
                                        <a:latin typeface="Calibri"/>
                                      </a:rPr>
                                      <a:pPr algn="ctr"/>
                                      <a:t>1/1/00</a:t>
                                    </a:fld>
                                    <a:endParaRPr lang="en-US" sz="1100" b="0" i="0" u="none" strike="noStrike">
                                      <a:solidFill>
                                        <a:srgbClr val="000000"/>
                                      </a:solidFill>
                                      <a:latin typeface="Calibri"/>
                                    </a:endParaRPr>
                                  </a:p>
                                </xdr:txBody>
                              </xdr:sp>
                            </xdr:grpSp>
                            <xdr:sp macro="" textlink="">
                              <xdr:nvSpPr>
                                <xdr:cNvPr id="47" name="TextBox 46">
                                  <a:extLst>
                                    <a:ext uri="{FF2B5EF4-FFF2-40B4-BE49-F238E27FC236}">
                                      <a16:creationId xmlns:a16="http://schemas.microsoft.com/office/drawing/2014/main" id="{00000000-0008-0000-0E00-00002F000000}"/>
                                    </a:ext>
                                  </a:extLst>
                                </xdr:cNvPr>
                                <xdr:cNvSpPr txBox="1"/>
                              </xdr:nvSpPr>
                              <xdr:spPr>
                                <a:xfrm>
                                  <a:off x="5779891" y="4890171"/>
                                  <a:ext cx="1627638" cy="182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l"/>
                                  <a:r>
                                    <a:rPr lang="en-US" sz="1100" b="0" i="0" u="none" strike="noStrike">
                                      <a:solidFill>
                                        <a:srgbClr val="000000"/>
                                      </a:solidFill>
                                      <a:latin typeface="Calibri"/>
                                    </a:rPr>
                                    <a:t>Min Green</a:t>
                                  </a:r>
                                </a:p>
                              </xdr:txBody>
                            </xdr:sp>
                            <xdr:sp macro="" textlink="Other!Z12">
                              <xdr:nvSpPr>
                                <xdr:cNvPr id="48" name="TextBox 47">
                                  <a:extLst>
                                    <a:ext uri="{FF2B5EF4-FFF2-40B4-BE49-F238E27FC236}">
                                      <a16:creationId xmlns:a16="http://schemas.microsoft.com/office/drawing/2014/main" id="{00000000-0008-0000-0E00-000030000000}"/>
                                    </a:ext>
                                  </a:extLst>
                                </xdr:cNvPr>
                                <xdr:cNvSpPr txBox="1"/>
                              </xdr:nvSpPr>
                              <xdr:spPr>
                                <a:xfrm>
                                  <a:off x="8222394" y="4744728"/>
                                  <a:ext cx="591092" cy="1829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fld id="{221D77EA-B194-488B-A0E1-299286F3BBC0}" type="TxLink">
                                    <a:rPr lang="en-US" sz="1100" b="0" i="0" u="none" strike="noStrike">
                                      <a:solidFill>
                                        <a:srgbClr val="000000"/>
                                      </a:solidFill>
                                      <a:latin typeface="Calibri"/>
                                    </a:rPr>
                                    <a:pPr algn="ctr"/>
                                    <a:t> </a:t>
                                  </a:fld>
                                  <a:endParaRPr lang="en-US" sz="1100" b="0" i="0" u="none" strike="noStrike">
                                    <a:solidFill>
                                      <a:srgbClr val="000000"/>
                                    </a:solidFill>
                                    <a:latin typeface="Calibri"/>
                                  </a:endParaRPr>
                                </a:p>
                              </xdr:txBody>
                            </xdr:sp>
                            <xdr:sp macro="" textlink="Other!Y12">
                              <xdr:nvSpPr>
                                <xdr:cNvPr id="49" name="TextBox 48">
                                  <a:extLst>
                                    <a:ext uri="{FF2B5EF4-FFF2-40B4-BE49-F238E27FC236}">
                                      <a16:creationId xmlns:a16="http://schemas.microsoft.com/office/drawing/2014/main" id="{00000000-0008-0000-0E00-000031000000}"/>
                                    </a:ext>
                                  </a:extLst>
                                </xdr:cNvPr>
                                <xdr:cNvSpPr txBox="1"/>
                              </xdr:nvSpPr>
                              <xdr:spPr>
                                <a:xfrm>
                                  <a:off x="7207429" y="4744724"/>
                                  <a:ext cx="635708" cy="1829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fld id="{09683FC6-AA07-440A-9970-28F37435D518}" type="TxLink">
                                    <a:rPr lang="en-US" sz="1100" b="0" i="0" u="none" strike="noStrike">
                                      <a:solidFill>
                                        <a:srgbClr val="000000"/>
                                      </a:solidFill>
                                      <a:latin typeface="Calibri"/>
                                    </a:rPr>
                                    <a:pPr algn="ctr"/>
                                    <a:t> </a:t>
                                  </a:fld>
                                  <a:endParaRPr lang="en-US" sz="1100" b="0" i="0" u="none" strike="noStrike">
                                    <a:solidFill>
                                      <a:srgbClr val="000000"/>
                                    </a:solidFill>
                                    <a:latin typeface="Calibri"/>
                                  </a:endParaRPr>
                                </a:p>
                              </xdr:txBody>
                            </xdr:sp>
                            <xdr:sp macro="" textlink="">
                              <xdr:nvSpPr>
                                <xdr:cNvPr id="50" name="TextBox 49">
                                  <a:extLst>
                                    <a:ext uri="{FF2B5EF4-FFF2-40B4-BE49-F238E27FC236}">
                                      <a16:creationId xmlns:a16="http://schemas.microsoft.com/office/drawing/2014/main" id="{00000000-0008-0000-0E00-000032000000}"/>
                                    </a:ext>
                                  </a:extLst>
                                </xdr:cNvPr>
                                <xdr:cNvSpPr txBox="1"/>
                              </xdr:nvSpPr>
                              <xdr:spPr>
                                <a:xfrm>
                                  <a:off x="5779891" y="5035585"/>
                                  <a:ext cx="1627638" cy="182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l"/>
                                  <a:r>
                                    <a:rPr lang="en-US" sz="1100" b="0" i="0" u="none" strike="noStrike">
                                      <a:solidFill>
                                        <a:srgbClr val="000000"/>
                                      </a:solidFill>
                                      <a:latin typeface="Calibri"/>
                                    </a:rPr>
                                    <a:t>Yellow Change Time</a:t>
                                  </a:r>
                                </a:p>
                              </xdr:txBody>
                            </xdr:sp>
                            <xdr:sp macro="" textlink="Other!Z13">
                              <xdr:nvSpPr>
                                <xdr:cNvPr id="51" name="TextBox 50">
                                  <a:extLst>
                                    <a:ext uri="{FF2B5EF4-FFF2-40B4-BE49-F238E27FC236}">
                                      <a16:creationId xmlns:a16="http://schemas.microsoft.com/office/drawing/2014/main" id="{00000000-0008-0000-0E00-000033000000}"/>
                                    </a:ext>
                                  </a:extLst>
                                </xdr:cNvPr>
                                <xdr:cNvSpPr txBox="1"/>
                              </xdr:nvSpPr>
                              <xdr:spPr>
                                <a:xfrm>
                                  <a:off x="8222394" y="4890148"/>
                                  <a:ext cx="591092" cy="1829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fld id="{FE9A068D-8632-4200-8F23-C78EFAABED4A}" type="TxLink">
                                    <a:rPr lang="en-US" sz="1100" b="0" i="0" u="none" strike="noStrike">
                                      <a:solidFill>
                                        <a:srgbClr val="000000"/>
                                      </a:solidFill>
                                      <a:latin typeface="Calibri"/>
                                    </a:rPr>
                                    <a:pPr algn="ctr"/>
                                    <a:t> </a:t>
                                  </a:fld>
                                  <a:endParaRPr lang="en-US" sz="1100" b="0" i="0" u="none" strike="noStrike">
                                    <a:solidFill>
                                      <a:srgbClr val="000000"/>
                                    </a:solidFill>
                                    <a:latin typeface="Calibri"/>
                                  </a:endParaRPr>
                                </a:p>
                              </xdr:txBody>
                            </xdr:sp>
                            <xdr:sp macro="" textlink="Other!Y13">
                              <xdr:nvSpPr>
                                <xdr:cNvPr id="52" name="TextBox 51">
                                  <a:extLst>
                                    <a:ext uri="{FF2B5EF4-FFF2-40B4-BE49-F238E27FC236}">
                                      <a16:creationId xmlns:a16="http://schemas.microsoft.com/office/drawing/2014/main" id="{00000000-0008-0000-0E00-000034000000}"/>
                                    </a:ext>
                                  </a:extLst>
                                </xdr:cNvPr>
                                <xdr:cNvSpPr txBox="1"/>
                              </xdr:nvSpPr>
                              <xdr:spPr>
                                <a:xfrm>
                                  <a:off x="7210226" y="4890144"/>
                                  <a:ext cx="630115" cy="1829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fld id="{533EBA80-A15F-4F97-B19F-FFC2032E041C}" type="TxLink">
                                    <a:rPr lang="en-US" sz="1100" b="0" i="0" u="none" strike="noStrike">
                                      <a:solidFill>
                                        <a:srgbClr val="000000"/>
                                      </a:solidFill>
                                      <a:latin typeface="Calibri"/>
                                    </a:rPr>
                                    <a:pPr algn="ctr"/>
                                    <a:t>0 sec</a:t>
                                  </a:fld>
                                  <a:endParaRPr lang="en-US" sz="1100" b="0" i="0" u="none" strike="noStrike">
                                    <a:solidFill>
                                      <a:srgbClr val="000000"/>
                                    </a:solidFill>
                                    <a:latin typeface="Calibri"/>
                                  </a:endParaRPr>
                                </a:p>
                              </xdr:txBody>
                            </xdr:sp>
                            <xdr:sp macro="" textlink="">
                              <xdr:nvSpPr>
                                <xdr:cNvPr id="53" name="TextBox 52">
                                  <a:extLst>
                                    <a:ext uri="{FF2B5EF4-FFF2-40B4-BE49-F238E27FC236}">
                                      <a16:creationId xmlns:a16="http://schemas.microsoft.com/office/drawing/2014/main" id="{00000000-0008-0000-0E00-000035000000}"/>
                                    </a:ext>
                                  </a:extLst>
                                </xdr:cNvPr>
                                <xdr:cNvSpPr txBox="1"/>
                              </xdr:nvSpPr>
                              <xdr:spPr>
                                <a:xfrm>
                                  <a:off x="5779891" y="5181000"/>
                                  <a:ext cx="1627636" cy="182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l"/>
                                  <a:r>
                                    <a:rPr lang="en-US" sz="1100" b="0" i="0" u="none" strike="noStrike">
                                      <a:solidFill>
                                        <a:srgbClr val="000000"/>
                                      </a:solidFill>
                                      <a:latin typeface="Calibri"/>
                                    </a:rPr>
                                    <a:t>Red Clearance Time</a:t>
                                  </a:r>
                                </a:p>
                              </xdr:txBody>
                            </xdr:sp>
                            <xdr:sp macro="" textlink="Other!Z14">
                              <xdr:nvSpPr>
                                <xdr:cNvPr id="54" name="TextBox 53">
                                  <a:extLst>
                                    <a:ext uri="{FF2B5EF4-FFF2-40B4-BE49-F238E27FC236}">
                                      <a16:creationId xmlns:a16="http://schemas.microsoft.com/office/drawing/2014/main" id="{00000000-0008-0000-0E00-000036000000}"/>
                                    </a:ext>
                                  </a:extLst>
                                </xdr:cNvPr>
                                <xdr:cNvSpPr txBox="1"/>
                              </xdr:nvSpPr>
                              <xdr:spPr>
                                <a:xfrm>
                                  <a:off x="8222394" y="5035568"/>
                                  <a:ext cx="591092" cy="1829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fld id="{21478385-111F-4C47-BBAD-17D43E5A4EA0}" type="TxLink">
                                    <a:rPr lang="en-US" sz="1100" b="0" i="0" u="none" strike="noStrike">
                                      <a:solidFill>
                                        <a:srgbClr val="000000"/>
                                      </a:solidFill>
                                      <a:latin typeface="Calibri"/>
                                    </a:rPr>
                                    <a:pPr algn="ctr"/>
                                    <a:t> </a:t>
                                  </a:fld>
                                  <a:endParaRPr lang="en-US" sz="1100" b="0" i="0" u="none" strike="noStrike">
                                    <a:solidFill>
                                      <a:srgbClr val="000000"/>
                                    </a:solidFill>
                                    <a:latin typeface="Calibri"/>
                                  </a:endParaRPr>
                                </a:p>
                              </xdr:txBody>
                            </xdr:sp>
                            <xdr:sp macro="" textlink="Other!Y14">
                              <xdr:nvSpPr>
                                <xdr:cNvPr id="55" name="TextBox 54">
                                  <a:extLst>
                                    <a:ext uri="{FF2B5EF4-FFF2-40B4-BE49-F238E27FC236}">
                                      <a16:creationId xmlns:a16="http://schemas.microsoft.com/office/drawing/2014/main" id="{00000000-0008-0000-0E00-000037000000}"/>
                                    </a:ext>
                                  </a:extLst>
                                </xdr:cNvPr>
                                <xdr:cNvSpPr txBox="1"/>
                              </xdr:nvSpPr>
                              <xdr:spPr>
                                <a:xfrm>
                                  <a:off x="7206562" y="5035564"/>
                                  <a:ext cx="637442" cy="1829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fld id="{8A20F3A3-F87F-45E1-9862-F3B593AEEB9E}" type="TxLink">
                                    <a:rPr lang="en-US" sz="1100" b="0" i="0" u="none" strike="noStrike">
                                      <a:solidFill>
                                        <a:srgbClr val="000000"/>
                                      </a:solidFill>
                                      <a:latin typeface="Calibri"/>
                                    </a:rPr>
                                    <a:pPr algn="ctr"/>
                                    <a:t>6 sec</a:t>
                                  </a:fld>
                                  <a:endParaRPr lang="en-US" sz="1100" b="0" i="0" u="none" strike="noStrike">
                                    <a:solidFill>
                                      <a:srgbClr val="000000"/>
                                    </a:solidFill>
                                    <a:latin typeface="Calibri"/>
                                  </a:endParaRPr>
                                </a:p>
                              </xdr:txBody>
                            </xdr:sp>
                            <xdr:sp macro="" textlink="Other!Z15">
                              <xdr:nvSpPr>
                                <xdr:cNvPr id="56" name="TextBox 55">
                                  <a:extLst>
                                    <a:ext uri="{FF2B5EF4-FFF2-40B4-BE49-F238E27FC236}">
                                      <a16:creationId xmlns:a16="http://schemas.microsoft.com/office/drawing/2014/main" id="{00000000-0008-0000-0E00-000038000000}"/>
                                    </a:ext>
                                  </a:extLst>
                                </xdr:cNvPr>
                                <xdr:cNvSpPr txBox="1"/>
                              </xdr:nvSpPr>
                              <xdr:spPr>
                                <a:xfrm>
                                  <a:off x="8222394" y="5180989"/>
                                  <a:ext cx="591092" cy="1829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fld id="{88672D7F-D349-448C-B517-88FB42CADFF3}" type="TxLink">
                                    <a:rPr lang="en-US" sz="1100" b="0" i="0" u="none" strike="noStrike">
                                      <a:solidFill>
                                        <a:srgbClr val="000000"/>
                                      </a:solidFill>
                                      <a:latin typeface="Calibri"/>
                                    </a:rPr>
                                    <a:pPr algn="ctr"/>
                                    <a:t> </a:t>
                                  </a:fld>
                                  <a:endParaRPr lang="en-US" sz="1100" b="0" i="0" u="none" strike="noStrike">
                                    <a:solidFill>
                                      <a:srgbClr val="000000"/>
                                    </a:solidFill>
                                    <a:latin typeface="Calibri"/>
                                  </a:endParaRPr>
                                </a:p>
                              </xdr:txBody>
                            </xdr:sp>
                            <xdr:sp macro="" textlink="Other!Y15">
                              <xdr:nvSpPr>
                                <xdr:cNvPr id="57" name="TextBox 56">
                                  <a:extLst>
                                    <a:ext uri="{FF2B5EF4-FFF2-40B4-BE49-F238E27FC236}">
                                      <a16:creationId xmlns:a16="http://schemas.microsoft.com/office/drawing/2014/main" id="{00000000-0008-0000-0E00-000039000000}"/>
                                    </a:ext>
                                  </a:extLst>
                                </xdr:cNvPr>
                                <xdr:cNvSpPr txBox="1"/>
                              </xdr:nvSpPr>
                              <xdr:spPr>
                                <a:xfrm>
                                  <a:off x="7202898" y="5180985"/>
                                  <a:ext cx="644770" cy="1829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fld id="{77EFE751-DB9B-4F70-A085-79EC7962FC94}" type="TxLink">
                                    <a:rPr lang="en-US" sz="1100" b="0" i="0" u="none" strike="noStrike">
                                      <a:solidFill>
                                        <a:srgbClr val="000000"/>
                                      </a:solidFill>
                                      <a:latin typeface="Calibri"/>
                                    </a:rPr>
                                    <a:pPr algn="ctr"/>
                                    <a:t>2 sec</a:t>
                                  </a:fld>
                                  <a:endParaRPr lang="en-US" sz="1100" b="0" i="0" u="none" strike="noStrike">
                                    <a:solidFill>
                                      <a:srgbClr val="000000"/>
                                    </a:solidFill>
                                    <a:latin typeface="Calibri"/>
                                  </a:endParaRPr>
                                </a:p>
                              </xdr:txBody>
                            </xdr:sp>
                            <xdr:sp macro="" textlink="">
                              <xdr:nvSpPr>
                                <xdr:cNvPr id="58" name="TextBox 57">
                                  <a:extLst>
                                    <a:ext uri="{FF2B5EF4-FFF2-40B4-BE49-F238E27FC236}">
                                      <a16:creationId xmlns:a16="http://schemas.microsoft.com/office/drawing/2014/main" id="{00000000-0008-0000-0E00-00003A000000}"/>
                                    </a:ext>
                                  </a:extLst>
                                </xdr:cNvPr>
                                <xdr:cNvSpPr txBox="1"/>
                              </xdr:nvSpPr>
                              <xdr:spPr>
                                <a:xfrm>
                                  <a:off x="5779891" y="5471828"/>
                                  <a:ext cx="1627638" cy="182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l"/>
                                  <a:r>
                                    <a:rPr lang="en-US" sz="1100" b="0" i="0" u="none" strike="noStrike">
                                      <a:solidFill>
                                        <a:srgbClr val="000000"/>
                                      </a:solidFill>
                                      <a:latin typeface="Calibri"/>
                                    </a:rPr>
                                    <a:t>Ped Clearance</a:t>
                                  </a:r>
                                  <a:r>
                                    <a:rPr lang="en-US" sz="1100" b="0" i="0" u="none" strike="noStrike" baseline="0">
                                      <a:solidFill>
                                        <a:srgbClr val="000000"/>
                                      </a:solidFill>
                                      <a:latin typeface="Calibri"/>
                                    </a:rPr>
                                    <a:t> Time</a:t>
                                  </a:r>
                                  <a:endParaRPr lang="en-US" sz="1100" b="0" i="0" u="none" strike="noStrike">
                                    <a:solidFill>
                                      <a:srgbClr val="000000"/>
                                    </a:solidFill>
                                    <a:latin typeface="Calibri"/>
                                  </a:endParaRPr>
                                </a:p>
                              </xdr:txBody>
                            </xdr:sp>
                            <xdr:sp macro="" textlink="Other!Z16">
                              <xdr:nvSpPr>
                                <xdr:cNvPr id="59" name="TextBox 58">
                                  <a:extLst>
                                    <a:ext uri="{FF2B5EF4-FFF2-40B4-BE49-F238E27FC236}">
                                      <a16:creationId xmlns:a16="http://schemas.microsoft.com/office/drawing/2014/main" id="{00000000-0008-0000-0E00-00003B000000}"/>
                                    </a:ext>
                                  </a:extLst>
                                </xdr:cNvPr>
                                <xdr:cNvSpPr txBox="1"/>
                              </xdr:nvSpPr>
                              <xdr:spPr>
                                <a:xfrm>
                                  <a:off x="8222394" y="5326409"/>
                                  <a:ext cx="591092" cy="1829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fld id="{845A0F28-A92A-4E68-90DA-2B8B0EB3405E}" type="TxLink">
                                    <a:rPr lang="en-US" sz="1100" b="0" i="0" u="none" strike="noStrike">
                                      <a:solidFill>
                                        <a:srgbClr val="000000"/>
                                      </a:solidFill>
                                      <a:latin typeface="Calibri"/>
                                    </a:rPr>
                                    <a:pPr algn="ctr"/>
                                    <a:t> </a:t>
                                  </a:fld>
                                  <a:endParaRPr lang="en-US" sz="1100" b="0" i="0" u="none" strike="noStrike">
                                    <a:solidFill>
                                      <a:srgbClr val="000000"/>
                                    </a:solidFill>
                                    <a:latin typeface="Calibri"/>
                                  </a:endParaRPr>
                                </a:p>
                              </xdr:txBody>
                            </xdr:sp>
                            <xdr:sp macro="" textlink="Other!Y16">
                              <xdr:nvSpPr>
                                <xdr:cNvPr id="60" name="TextBox 59">
                                  <a:extLst>
                                    <a:ext uri="{FF2B5EF4-FFF2-40B4-BE49-F238E27FC236}">
                                      <a16:creationId xmlns:a16="http://schemas.microsoft.com/office/drawing/2014/main" id="{00000000-0008-0000-0E00-00003C000000}"/>
                                    </a:ext>
                                  </a:extLst>
                                </xdr:cNvPr>
                                <xdr:cNvSpPr txBox="1"/>
                              </xdr:nvSpPr>
                              <xdr:spPr>
                                <a:xfrm>
                                  <a:off x="7206562" y="5326405"/>
                                  <a:ext cx="637442" cy="1829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fld id="{E96611BF-168D-4929-9654-7535A11CD341}" type="TxLink">
                                    <a:rPr lang="en-US" sz="1100" b="0" i="0" u="none" strike="noStrike">
                                      <a:solidFill>
                                        <a:srgbClr val="000000"/>
                                      </a:solidFill>
                                      <a:latin typeface="Calibri"/>
                                    </a:rPr>
                                    <a:pPr algn="ctr"/>
                                    <a:t>0 sec</a:t>
                                  </a:fld>
                                  <a:endParaRPr lang="en-US" sz="1100" b="0" i="0" u="none" strike="noStrike">
                                    <a:solidFill>
                                      <a:srgbClr val="000000"/>
                                    </a:solidFill>
                                    <a:latin typeface="Calibri"/>
                                  </a:endParaRPr>
                                </a:p>
                              </xdr:txBody>
                            </xdr:sp>
                            <xdr:sp macro="" textlink="">
                              <xdr:nvSpPr>
                                <xdr:cNvPr id="61" name="TextBox 60">
                                  <a:extLst>
                                    <a:ext uri="{FF2B5EF4-FFF2-40B4-BE49-F238E27FC236}">
                                      <a16:creationId xmlns:a16="http://schemas.microsoft.com/office/drawing/2014/main" id="{00000000-0008-0000-0E00-00003D000000}"/>
                                    </a:ext>
                                  </a:extLst>
                                </xdr:cNvPr>
                                <xdr:cNvSpPr txBox="1"/>
                              </xdr:nvSpPr>
                              <xdr:spPr>
                                <a:xfrm>
                                  <a:off x="5779891" y="5617245"/>
                                  <a:ext cx="1627636" cy="182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l"/>
                                  <a:r>
                                    <a:rPr lang="en-US" sz="1100" b="0" i="0" u="none" strike="noStrike">
                                      <a:solidFill>
                                        <a:srgbClr val="000000"/>
                                      </a:solidFill>
                                      <a:latin typeface="Calibri"/>
                                    </a:rPr>
                                    <a:t>ROW Transfer Time</a:t>
                                  </a:r>
                                </a:p>
                              </xdr:txBody>
                            </xdr:sp>
                            <xdr:sp macro="" textlink="Other!Z17">
                              <xdr:nvSpPr>
                                <xdr:cNvPr id="62" name="TextBox 61">
                                  <a:extLst>
                                    <a:ext uri="{FF2B5EF4-FFF2-40B4-BE49-F238E27FC236}">
                                      <a16:creationId xmlns:a16="http://schemas.microsoft.com/office/drawing/2014/main" id="{00000000-0008-0000-0E00-00003E000000}"/>
                                    </a:ext>
                                  </a:extLst>
                                </xdr:cNvPr>
                                <xdr:cNvSpPr txBox="1"/>
                              </xdr:nvSpPr>
                              <xdr:spPr>
                                <a:xfrm>
                                  <a:off x="8222394" y="5471829"/>
                                  <a:ext cx="591092" cy="1829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fld id="{649C64A8-8C69-480B-9F97-D70A433ACBCF}" type="TxLink">
                                    <a:rPr lang="en-US" sz="1100" b="0" i="0" u="none" strike="noStrike">
                                      <a:solidFill>
                                        <a:srgbClr val="000000"/>
                                      </a:solidFill>
                                      <a:latin typeface="Calibri"/>
                                    </a:rPr>
                                    <a:pPr algn="ctr"/>
                                    <a:t> </a:t>
                                  </a:fld>
                                  <a:endParaRPr lang="en-US" sz="1100" b="0" i="0" u="none" strike="noStrike">
                                    <a:solidFill>
                                      <a:srgbClr val="000000"/>
                                    </a:solidFill>
                                    <a:latin typeface="Calibri"/>
                                  </a:endParaRPr>
                                </a:p>
                              </xdr:txBody>
                            </xdr:sp>
                            <xdr:sp macro="" textlink="Other!Y17">
                              <xdr:nvSpPr>
                                <xdr:cNvPr id="63" name="TextBox 62">
                                  <a:extLst>
                                    <a:ext uri="{FF2B5EF4-FFF2-40B4-BE49-F238E27FC236}">
                                      <a16:creationId xmlns:a16="http://schemas.microsoft.com/office/drawing/2014/main" id="{00000000-0008-0000-0E00-00003F000000}"/>
                                    </a:ext>
                                  </a:extLst>
                                </xdr:cNvPr>
                                <xdr:cNvSpPr txBox="1"/>
                              </xdr:nvSpPr>
                              <xdr:spPr>
                                <a:xfrm>
                                  <a:off x="7206562" y="5471825"/>
                                  <a:ext cx="637442" cy="1829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fld id="{ACB32736-659D-4B1D-9D09-44A911A3F522}" type="TxLink">
                                    <a:rPr lang="en-US" sz="1100" b="0" i="0" u="none" strike="noStrike">
                                      <a:solidFill>
                                        <a:srgbClr val="000000"/>
                                      </a:solidFill>
                                      <a:latin typeface="Calibri"/>
                                    </a:rPr>
                                    <a:pPr algn="ctr"/>
                                    <a:t>3 sec</a:t>
                                  </a:fld>
                                  <a:endParaRPr lang="en-US" sz="1100" b="0" i="0" u="none" strike="noStrike">
                                    <a:solidFill>
                                      <a:srgbClr val="000000"/>
                                    </a:solidFill>
                                    <a:latin typeface="Calibri"/>
                                  </a:endParaRPr>
                                </a:p>
                              </xdr:txBody>
                            </xdr:sp>
                          </xdr:grpSp>
                          <xdr:sp macro="" textlink="">
                            <xdr:nvSpPr>
                              <xdr:cNvPr id="45" name="TextBox 44">
                                <a:extLst>
                                  <a:ext uri="{FF2B5EF4-FFF2-40B4-BE49-F238E27FC236}">
                                    <a16:creationId xmlns:a16="http://schemas.microsoft.com/office/drawing/2014/main" id="{00000000-0008-0000-0E00-00002D000000}"/>
                                  </a:ext>
                                </a:extLst>
                              </xdr:cNvPr>
                              <xdr:cNvSpPr txBox="1"/>
                            </xdr:nvSpPr>
                            <xdr:spPr>
                              <a:xfrm>
                                <a:off x="5779891" y="5326414"/>
                                <a:ext cx="1627638" cy="182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l"/>
                                <a:r>
                                  <a:rPr lang="en-US" sz="1100" b="0" i="0" u="none" strike="noStrike">
                                    <a:solidFill>
                                      <a:srgbClr val="000000"/>
                                    </a:solidFill>
                                    <a:latin typeface="Calibri"/>
                                  </a:rPr>
                                  <a:t>Min Walk Time</a:t>
                                </a:r>
                              </a:p>
                            </xdr:txBody>
                          </xdr:sp>
                        </xdr:grpSp>
                        <xdr:sp macro="" textlink="">
                          <xdr:nvSpPr>
                            <xdr:cNvPr id="133" name="TextBox 132">
                              <a:extLst>
                                <a:ext uri="{FF2B5EF4-FFF2-40B4-BE49-F238E27FC236}">
                                  <a16:creationId xmlns:a16="http://schemas.microsoft.com/office/drawing/2014/main" id="{00000000-0008-0000-0E00-000085000000}"/>
                                </a:ext>
                              </a:extLst>
                            </xdr:cNvPr>
                            <xdr:cNvSpPr txBox="1"/>
                          </xdr:nvSpPr>
                          <xdr:spPr>
                            <a:xfrm>
                              <a:off x="5148096" y="4300591"/>
                              <a:ext cx="1637073" cy="182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l"/>
                              <a:r>
                                <a:rPr lang="en-US" sz="1100" b="0" i="0" u="none" strike="noStrike">
                                  <a:solidFill>
                                    <a:srgbClr val="000000"/>
                                  </a:solidFill>
                                  <a:latin typeface="Calibri"/>
                                </a:rPr>
                                <a:t>TCG Phase</a:t>
                              </a:r>
                            </a:p>
                          </xdr:txBody>
                        </xdr:sp>
                        <xdr:sp macro="" textlink="Other!Z8">
                          <xdr:nvSpPr>
                            <xdr:cNvPr id="134" name="TextBox 133">
                              <a:extLst>
                                <a:ext uri="{FF2B5EF4-FFF2-40B4-BE49-F238E27FC236}">
                                  <a16:creationId xmlns:a16="http://schemas.microsoft.com/office/drawing/2014/main" id="{00000000-0008-0000-0E00-000086000000}"/>
                                </a:ext>
                              </a:extLst>
                            </xdr:cNvPr>
                            <xdr:cNvSpPr txBox="1"/>
                          </xdr:nvSpPr>
                          <xdr:spPr>
                            <a:xfrm>
                              <a:off x="7604762" y="4155124"/>
                              <a:ext cx="594518" cy="1829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fld id="{5C9FB263-CD70-447C-93F1-7CE9F3C6556C}" type="TxLink">
                                <a:rPr lang="en-US" sz="1100" b="0" i="0" u="none" strike="noStrike">
                                  <a:solidFill>
                                    <a:srgbClr val="000000"/>
                                  </a:solidFill>
                                  <a:latin typeface="Calibri"/>
                                </a:rPr>
                                <a:pPr algn="ctr"/>
                                <a:t> </a:t>
                              </a:fld>
                              <a:endParaRPr lang="en-US" sz="1100" b="0" i="0" u="none" strike="noStrike">
                                <a:solidFill>
                                  <a:srgbClr val="000000"/>
                                </a:solidFill>
                                <a:latin typeface="Calibri"/>
                              </a:endParaRPr>
                            </a:p>
                          </xdr:txBody>
                        </xdr:sp>
                        <xdr:sp macro="" textlink="Other!Y8">
                          <xdr:nvSpPr>
                            <xdr:cNvPr id="135" name="TextBox 134">
                              <a:extLst>
                                <a:ext uri="{FF2B5EF4-FFF2-40B4-BE49-F238E27FC236}">
                                  <a16:creationId xmlns:a16="http://schemas.microsoft.com/office/drawing/2014/main" id="{00000000-0008-0000-0E00-000087000000}"/>
                                </a:ext>
                              </a:extLst>
                            </xdr:cNvPr>
                            <xdr:cNvSpPr txBox="1"/>
                          </xdr:nvSpPr>
                          <xdr:spPr>
                            <a:xfrm>
                              <a:off x="6583912" y="4155120"/>
                              <a:ext cx="639394" cy="1829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fld id="{600C69E5-0B62-436F-9E96-3D3CD291228A}" type="TxLink">
                                <a:rPr lang="en-US" sz="1100" b="0" i="0" u="none" strike="noStrike">
                                  <a:solidFill>
                                    <a:srgbClr val="000000"/>
                                  </a:solidFill>
                                  <a:latin typeface="Calibri"/>
                                </a:rPr>
                                <a:pPr algn="ctr"/>
                                <a:t>20 sec</a:t>
                              </a:fld>
                              <a:endParaRPr lang="en-US" sz="1100" b="0" i="0" u="none" strike="noStrike">
                                <a:solidFill>
                                  <a:srgbClr val="000000"/>
                                </a:solidFill>
                                <a:latin typeface="Calibri"/>
                              </a:endParaRPr>
                            </a:p>
                          </xdr:txBody>
                        </xdr:sp>
                      </xdr:grpSp>
                      <xdr:sp macro="" textlink="">
                        <xdr:nvSpPr>
                          <xdr:cNvPr id="137" name="TextBox 136">
                            <a:extLst>
                              <a:ext uri="{FF2B5EF4-FFF2-40B4-BE49-F238E27FC236}">
                                <a16:creationId xmlns:a16="http://schemas.microsoft.com/office/drawing/2014/main" id="{00000000-0008-0000-0E00-000089000000}"/>
                              </a:ext>
                            </a:extLst>
                          </xdr:cNvPr>
                          <xdr:cNvSpPr txBox="1"/>
                        </xdr:nvSpPr>
                        <xdr:spPr>
                          <a:xfrm>
                            <a:off x="5148096" y="4446005"/>
                            <a:ext cx="1637075" cy="182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l"/>
                            <a:r>
                              <a:rPr lang="en-US" sz="1100" b="0" i="0" u="none" strike="noStrike">
                                <a:solidFill>
                                  <a:srgbClr val="000000"/>
                                </a:solidFill>
                                <a:latin typeface="Calibri"/>
                              </a:rPr>
                              <a:t>Min Dwell</a:t>
                            </a:r>
                          </a:p>
                        </xdr:txBody>
                      </xdr:sp>
                      <xdr:sp macro="" textlink="Other!Z9">
                        <xdr:nvSpPr>
                          <xdr:cNvPr id="138" name="TextBox 137">
                            <a:extLst>
                              <a:ext uri="{FF2B5EF4-FFF2-40B4-BE49-F238E27FC236}">
                                <a16:creationId xmlns:a16="http://schemas.microsoft.com/office/drawing/2014/main" id="{00000000-0008-0000-0E00-00008A000000}"/>
                              </a:ext>
                            </a:extLst>
                          </xdr:cNvPr>
                          <xdr:cNvSpPr txBox="1"/>
                        </xdr:nvSpPr>
                        <xdr:spPr>
                          <a:xfrm>
                            <a:off x="7604762" y="4300544"/>
                            <a:ext cx="594518" cy="1829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fld id="{2065AEE2-8FAC-4BE7-A1FB-C589F7DDC464}" type="TxLink">
                              <a:rPr lang="en-US" sz="1100" b="0" i="0" u="none" strike="noStrike">
                                <a:solidFill>
                                  <a:srgbClr val="000000"/>
                                </a:solidFill>
                                <a:latin typeface="Calibri"/>
                              </a:rPr>
                              <a:pPr algn="ctr"/>
                              <a:t> </a:t>
                            </a:fld>
                            <a:endParaRPr lang="en-US" sz="1100" b="0" i="0" u="none" strike="noStrike">
                              <a:solidFill>
                                <a:srgbClr val="000000"/>
                              </a:solidFill>
                              <a:latin typeface="Calibri"/>
                            </a:endParaRPr>
                          </a:p>
                        </xdr:txBody>
                      </xdr:sp>
                      <xdr:sp macro="" textlink="Other!Y9">
                        <xdr:nvSpPr>
                          <xdr:cNvPr id="139" name="TextBox 138">
                            <a:extLst>
                              <a:ext uri="{FF2B5EF4-FFF2-40B4-BE49-F238E27FC236}">
                                <a16:creationId xmlns:a16="http://schemas.microsoft.com/office/drawing/2014/main" id="{00000000-0008-0000-0E00-00008B000000}"/>
                              </a:ext>
                            </a:extLst>
                          </xdr:cNvPr>
                          <xdr:cNvSpPr txBox="1"/>
                        </xdr:nvSpPr>
                        <xdr:spPr>
                          <a:xfrm>
                            <a:off x="6583912" y="4300540"/>
                            <a:ext cx="639394" cy="1829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fld id="{68BAB23B-E369-4BBF-9BF2-E54A81F3C464}" type="TxLink">
                              <a:rPr lang="en-US" sz="1100" b="0" i="0" u="none" strike="noStrike">
                                <a:solidFill>
                                  <a:srgbClr val="000000"/>
                                </a:solidFill>
                                <a:latin typeface="Calibri"/>
                              </a:rPr>
                              <a:pPr algn="ctr"/>
                              <a:t>3,8</a:t>
                            </a:fld>
                            <a:endParaRPr lang="en-US" sz="1100" b="0" i="0" u="none" strike="noStrike">
                              <a:solidFill>
                                <a:srgbClr val="000000"/>
                              </a:solidFill>
                              <a:latin typeface="Calibri"/>
                            </a:endParaRPr>
                          </a:p>
                        </xdr:txBody>
                      </xdr:sp>
                      <xdr:sp macro="" textlink="">
                        <xdr:nvSpPr>
                          <xdr:cNvPr id="140" name="TextBox 139">
                            <a:extLst>
                              <a:ext uri="{FF2B5EF4-FFF2-40B4-BE49-F238E27FC236}">
                                <a16:creationId xmlns:a16="http://schemas.microsoft.com/office/drawing/2014/main" id="{00000000-0008-0000-0E00-00008C000000}"/>
                              </a:ext>
                            </a:extLst>
                          </xdr:cNvPr>
                          <xdr:cNvSpPr txBox="1"/>
                        </xdr:nvSpPr>
                        <xdr:spPr>
                          <a:xfrm>
                            <a:off x="5148096" y="4591420"/>
                            <a:ext cx="1637075" cy="182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l"/>
                            <a:r>
                              <a:rPr lang="en-US" sz="1100" b="0" i="0" u="none" strike="noStrike">
                                <a:solidFill>
                                  <a:srgbClr val="000000"/>
                                </a:solidFill>
                                <a:latin typeface="Calibri"/>
                              </a:rPr>
                              <a:t>Exit Phases</a:t>
                            </a:r>
                          </a:p>
                        </xdr:txBody>
                      </xdr:sp>
                      <xdr:sp macro="" textlink="Other!Z10">
                        <xdr:nvSpPr>
                          <xdr:cNvPr id="141" name="TextBox 140">
                            <a:extLst>
                              <a:ext uri="{FF2B5EF4-FFF2-40B4-BE49-F238E27FC236}">
                                <a16:creationId xmlns:a16="http://schemas.microsoft.com/office/drawing/2014/main" id="{00000000-0008-0000-0E00-00008D000000}"/>
                              </a:ext>
                            </a:extLst>
                          </xdr:cNvPr>
                          <xdr:cNvSpPr txBox="1"/>
                        </xdr:nvSpPr>
                        <xdr:spPr>
                          <a:xfrm>
                            <a:off x="7604762" y="4445964"/>
                            <a:ext cx="594518" cy="1829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fld id="{7075F7B4-F89A-47DF-BBFF-4D6D6EC40FDC}" type="TxLink">
                              <a:rPr lang="en-US" sz="1100" b="0" i="0" u="none" strike="noStrike">
                                <a:solidFill>
                                  <a:srgbClr val="000000"/>
                                </a:solidFill>
                                <a:latin typeface="Calibri"/>
                              </a:rPr>
                              <a:pPr algn="ctr"/>
                              <a:t> </a:t>
                            </a:fld>
                            <a:endParaRPr lang="en-US" sz="1100" b="0" i="0" u="none" strike="noStrike">
                              <a:solidFill>
                                <a:srgbClr val="000000"/>
                              </a:solidFill>
                              <a:latin typeface="Calibri"/>
                            </a:endParaRPr>
                          </a:p>
                        </xdr:txBody>
                      </xdr:sp>
                      <xdr:sp macro="" textlink="Other!Y10">
                        <xdr:nvSpPr>
                          <xdr:cNvPr id="142" name="TextBox 141">
                            <a:extLst>
                              <a:ext uri="{FF2B5EF4-FFF2-40B4-BE49-F238E27FC236}">
                                <a16:creationId xmlns:a16="http://schemas.microsoft.com/office/drawing/2014/main" id="{00000000-0008-0000-0E00-00008E000000}"/>
                              </a:ext>
                            </a:extLst>
                          </xdr:cNvPr>
                          <xdr:cNvSpPr txBox="1"/>
                        </xdr:nvSpPr>
                        <xdr:spPr>
                          <a:xfrm>
                            <a:off x="6583912" y="4445960"/>
                            <a:ext cx="639394" cy="1829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fld id="{BFCA1727-E4BF-45DE-B2F9-906D9183F8CD}" type="TxLink">
                              <a:rPr lang="en-US" sz="1100" b="0" i="0" u="none" strike="noStrike">
                                <a:solidFill>
                                  <a:srgbClr val="000000"/>
                                </a:solidFill>
                                <a:latin typeface="Calibri"/>
                              </a:rPr>
                              <a:pPr algn="ctr"/>
                              <a:t>0 sec</a:t>
                            </a:fld>
                            <a:endParaRPr lang="en-US" sz="1100" b="0" i="0" u="none" strike="noStrike">
                              <a:solidFill>
                                <a:srgbClr val="000000"/>
                              </a:solidFill>
                              <a:latin typeface="Calibri"/>
                            </a:endParaRPr>
                          </a:p>
                        </xdr:txBody>
                      </xdr:sp>
                      <xdr:sp macro="" textlink="">
                        <xdr:nvSpPr>
                          <xdr:cNvPr id="146" name="TextBox 145">
                            <a:extLst>
                              <a:ext uri="{FF2B5EF4-FFF2-40B4-BE49-F238E27FC236}">
                                <a16:creationId xmlns:a16="http://schemas.microsoft.com/office/drawing/2014/main" id="{00000000-0008-0000-0E00-000092000000}"/>
                              </a:ext>
                            </a:extLst>
                          </xdr:cNvPr>
                          <xdr:cNvSpPr txBox="1"/>
                        </xdr:nvSpPr>
                        <xdr:spPr>
                          <a:xfrm>
                            <a:off x="5148096" y="4736834"/>
                            <a:ext cx="1637073" cy="182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l"/>
                            <a:r>
                              <a:rPr lang="en-US" sz="1100" b="0" i="0" u="none" strike="noStrike">
                                <a:solidFill>
                                  <a:srgbClr val="000000"/>
                                </a:solidFill>
                                <a:latin typeface="Calibri"/>
                              </a:rPr>
                              <a:t>Preempt Extension</a:t>
                            </a:r>
                          </a:p>
                        </xdr:txBody>
                      </xdr:sp>
                      <xdr:sp macro="" textlink="Other!Z11">
                        <xdr:nvSpPr>
                          <xdr:cNvPr id="147" name="TextBox 146">
                            <a:extLst>
                              <a:ext uri="{FF2B5EF4-FFF2-40B4-BE49-F238E27FC236}">
                                <a16:creationId xmlns:a16="http://schemas.microsoft.com/office/drawing/2014/main" id="{00000000-0008-0000-0E00-000093000000}"/>
                              </a:ext>
                            </a:extLst>
                          </xdr:cNvPr>
                          <xdr:cNvSpPr txBox="1"/>
                        </xdr:nvSpPr>
                        <xdr:spPr>
                          <a:xfrm>
                            <a:off x="7604762" y="4591385"/>
                            <a:ext cx="594518" cy="1829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fld id="{4464522A-CDFE-454A-A74E-F188C20B25E0}" type="TxLink">
                              <a:rPr lang="en-US" sz="1100" b="0" i="0" u="none" strike="noStrike">
                                <a:solidFill>
                                  <a:srgbClr val="000000"/>
                                </a:solidFill>
                                <a:latin typeface="Calibri"/>
                              </a:rPr>
                              <a:pPr algn="ctr"/>
                              <a:t> </a:t>
                            </a:fld>
                            <a:endParaRPr lang="en-US" sz="1100" b="0" i="0" u="none" strike="noStrike">
                              <a:solidFill>
                                <a:srgbClr val="000000"/>
                              </a:solidFill>
                              <a:latin typeface="Calibri"/>
                            </a:endParaRPr>
                          </a:p>
                        </xdr:txBody>
                      </xdr:sp>
                      <xdr:sp macro="" textlink="Other!Y11">
                        <xdr:nvSpPr>
                          <xdr:cNvPr id="148" name="TextBox 147">
                            <a:extLst>
                              <a:ext uri="{FF2B5EF4-FFF2-40B4-BE49-F238E27FC236}">
                                <a16:creationId xmlns:a16="http://schemas.microsoft.com/office/drawing/2014/main" id="{00000000-0008-0000-0E00-000094000000}"/>
                              </a:ext>
                            </a:extLst>
                          </xdr:cNvPr>
                          <xdr:cNvSpPr txBox="1"/>
                        </xdr:nvSpPr>
                        <xdr:spPr>
                          <a:xfrm>
                            <a:off x="6583912" y="4591381"/>
                            <a:ext cx="639394" cy="1829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fld id="{F7FCDF37-9152-4359-9D62-0F52754AA3DC}" type="TxLink">
                              <a:rPr lang="en-US" sz="1100" b="0" i="0" u="none" strike="noStrike">
                                <a:solidFill>
                                  <a:srgbClr val="000000"/>
                                </a:solidFill>
                                <a:latin typeface="Calibri"/>
                              </a:rPr>
                              <a:pPr algn="ctr"/>
                              <a:t>4,7</a:t>
                            </a:fld>
                            <a:endParaRPr lang="en-US" sz="1100" b="0" i="0" u="none" strike="noStrike">
                              <a:solidFill>
                                <a:srgbClr val="000000"/>
                              </a:solidFill>
                              <a:latin typeface="Calibri"/>
                            </a:endParaRPr>
                          </a:p>
                        </xdr:txBody>
                      </xdr:sp>
                    </xdr:grpSp>
                    <xdr:sp macro="" textlink="Other!Z19">
                      <xdr:nvSpPr>
                        <xdr:cNvPr id="150" name="TextBox 149">
                          <a:extLst>
                            <a:ext uri="{FF2B5EF4-FFF2-40B4-BE49-F238E27FC236}">
                              <a16:creationId xmlns:a16="http://schemas.microsoft.com/office/drawing/2014/main" id="{00000000-0008-0000-0E00-000096000000}"/>
                            </a:ext>
                          </a:extLst>
                        </xdr:cNvPr>
                        <xdr:cNvSpPr txBox="1"/>
                      </xdr:nvSpPr>
                      <xdr:spPr>
                        <a:xfrm>
                          <a:off x="7608939" y="3714099"/>
                          <a:ext cx="670264" cy="1829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fld id="{88E45809-24BE-48E2-B6CD-9989032C70C0}" type="TxLink">
                            <a:rPr lang="en-US" sz="1100" b="0" i="0" u="none" strike="noStrike">
                              <a:solidFill>
                                <a:srgbClr val="000000"/>
                              </a:solidFill>
                              <a:latin typeface="Calibri"/>
                            </a:rPr>
                            <a:pPr algn="ctr"/>
                            <a:t> </a:t>
                          </a:fld>
                          <a:endParaRPr lang="en-US" sz="1100" b="0" i="0" u="none" strike="noStrike">
                            <a:solidFill>
                              <a:srgbClr val="000000"/>
                            </a:solidFill>
                            <a:latin typeface="Calibri"/>
                          </a:endParaRPr>
                        </a:p>
                      </xdr:txBody>
                    </xdr:sp>
                    <xdr:cxnSp macro="">
                      <xdr:nvCxnSpPr>
                        <xdr:cNvPr id="151" name="Straight Connector 150">
                          <a:extLst>
                            <a:ext uri="{FF2B5EF4-FFF2-40B4-BE49-F238E27FC236}">
                              <a16:creationId xmlns:a16="http://schemas.microsoft.com/office/drawing/2014/main" id="{00000000-0008-0000-0E00-000097000000}"/>
                            </a:ext>
                          </a:extLst>
                        </xdr:cNvPr>
                        <xdr:cNvCxnSpPr/>
                      </xdr:nvCxnSpPr>
                      <xdr:spPr>
                        <a:xfrm flipV="1">
                          <a:off x="8410355" y="3424722"/>
                          <a:ext cx="0" cy="2376401"/>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grpSp>
                  <xdr:sp macro="" textlink="Other!AA4">
                    <xdr:nvSpPr>
                      <xdr:cNvPr id="154" name="TextBox 153">
                        <a:extLst>
                          <a:ext uri="{FF2B5EF4-FFF2-40B4-BE49-F238E27FC236}">
                            <a16:creationId xmlns:a16="http://schemas.microsoft.com/office/drawing/2014/main" id="{00000000-0008-0000-0E00-00009A000000}"/>
                          </a:ext>
                        </a:extLst>
                      </xdr:cNvPr>
                      <xdr:cNvSpPr txBox="1"/>
                    </xdr:nvSpPr>
                    <xdr:spPr>
                      <a:xfrm>
                        <a:off x="8323521" y="3866233"/>
                        <a:ext cx="940147" cy="1829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fld id="{410E6A78-1D2F-4711-AF00-634B1A700186}" type="TxLink">
                          <a:rPr lang="en-US" sz="1100" b="0" i="0" u="none" strike="noStrike">
                            <a:solidFill>
                              <a:srgbClr val="000000"/>
                            </a:solidFill>
                            <a:latin typeface="Calibri"/>
                          </a:rPr>
                          <a:pPr algn="ctr"/>
                          <a:t> </a:t>
                        </a:fld>
                        <a:endParaRPr lang="en-US" sz="1100" b="0" i="0" u="none" strike="noStrike">
                          <a:solidFill>
                            <a:srgbClr val="000000"/>
                          </a:solidFill>
                          <a:latin typeface="Calibri"/>
                        </a:endParaRPr>
                      </a:p>
                    </xdr:txBody>
                  </xdr:sp>
                  <xdr:sp macro="" textlink="Other!AA7">
                    <xdr:nvSpPr>
                      <xdr:cNvPr id="155" name="TextBox 154">
                        <a:extLst>
                          <a:ext uri="{FF2B5EF4-FFF2-40B4-BE49-F238E27FC236}">
                            <a16:creationId xmlns:a16="http://schemas.microsoft.com/office/drawing/2014/main" id="{00000000-0008-0000-0E00-00009B000000}"/>
                          </a:ext>
                        </a:extLst>
                      </xdr:cNvPr>
                      <xdr:cNvSpPr txBox="1"/>
                    </xdr:nvSpPr>
                    <xdr:spPr>
                      <a:xfrm>
                        <a:off x="8499111" y="4011654"/>
                        <a:ext cx="588967" cy="1829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fld id="{B23AAA07-FC5E-4F14-BEAD-890C55B80A51}" type="TxLink">
                          <a:rPr lang="en-US" sz="1100" b="0" i="0" u="none" strike="noStrike">
                            <a:solidFill>
                              <a:srgbClr val="000000"/>
                            </a:solidFill>
                            <a:latin typeface="Calibri"/>
                          </a:rPr>
                          <a:pPr algn="ctr"/>
                          <a:t> </a:t>
                        </a:fld>
                        <a:endParaRPr lang="en-US" sz="1100" b="0" i="0" u="none" strike="noStrike">
                          <a:solidFill>
                            <a:srgbClr val="000000"/>
                          </a:solidFill>
                          <a:latin typeface="Calibri"/>
                        </a:endParaRPr>
                      </a:p>
                    </xdr:txBody>
                  </xdr:sp>
                  <xdr:sp macro="" textlink="Other!AA12">
                    <xdr:nvSpPr>
                      <xdr:cNvPr id="156" name="TextBox 155">
                        <a:extLst>
                          <a:ext uri="{FF2B5EF4-FFF2-40B4-BE49-F238E27FC236}">
                            <a16:creationId xmlns:a16="http://schemas.microsoft.com/office/drawing/2014/main" id="{00000000-0008-0000-0E00-00009C000000}"/>
                          </a:ext>
                        </a:extLst>
                      </xdr:cNvPr>
                      <xdr:cNvSpPr txBox="1"/>
                    </xdr:nvSpPr>
                    <xdr:spPr>
                      <a:xfrm>
                        <a:off x="8499111" y="4738755"/>
                        <a:ext cx="588966" cy="1829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fld id="{157923CF-313E-4A47-BDEB-6AAEF365A98A}" type="TxLink">
                          <a:rPr lang="en-US" sz="1100" b="0" i="0" u="none" strike="noStrike">
                            <a:solidFill>
                              <a:srgbClr val="000000"/>
                            </a:solidFill>
                            <a:latin typeface="Calibri"/>
                          </a:rPr>
                          <a:pPr algn="ctr"/>
                          <a:t> </a:t>
                        </a:fld>
                        <a:endParaRPr lang="en-US" sz="1100" b="0" i="0" u="none" strike="noStrike">
                          <a:solidFill>
                            <a:srgbClr val="000000"/>
                          </a:solidFill>
                          <a:latin typeface="Calibri"/>
                        </a:endParaRPr>
                      </a:p>
                    </xdr:txBody>
                  </xdr:sp>
                  <xdr:sp macro="" textlink="Other!AA13">
                    <xdr:nvSpPr>
                      <xdr:cNvPr id="157" name="TextBox 156">
                        <a:extLst>
                          <a:ext uri="{FF2B5EF4-FFF2-40B4-BE49-F238E27FC236}">
                            <a16:creationId xmlns:a16="http://schemas.microsoft.com/office/drawing/2014/main" id="{00000000-0008-0000-0E00-00009D000000}"/>
                          </a:ext>
                        </a:extLst>
                      </xdr:cNvPr>
                      <xdr:cNvSpPr txBox="1"/>
                    </xdr:nvSpPr>
                    <xdr:spPr>
                      <a:xfrm>
                        <a:off x="8499111" y="4884175"/>
                        <a:ext cx="588966" cy="1829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fld id="{06CF8B58-4F1C-413C-AB5E-E19BAF014185}" type="TxLink">
                          <a:rPr lang="en-US" sz="1100" b="0" i="0" u="none" strike="noStrike">
                            <a:solidFill>
                              <a:srgbClr val="000000"/>
                            </a:solidFill>
                            <a:latin typeface="Calibri"/>
                          </a:rPr>
                          <a:pPr algn="ctr"/>
                          <a:t> </a:t>
                        </a:fld>
                        <a:endParaRPr lang="en-US" sz="1100" b="0" i="0" u="none" strike="noStrike">
                          <a:solidFill>
                            <a:srgbClr val="000000"/>
                          </a:solidFill>
                          <a:latin typeface="Calibri"/>
                        </a:endParaRPr>
                      </a:p>
                    </xdr:txBody>
                  </xdr:sp>
                  <xdr:sp macro="" textlink="Other!AA14">
                    <xdr:nvSpPr>
                      <xdr:cNvPr id="158" name="TextBox 157">
                        <a:extLst>
                          <a:ext uri="{FF2B5EF4-FFF2-40B4-BE49-F238E27FC236}">
                            <a16:creationId xmlns:a16="http://schemas.microsoft.com/office/drawing/2014/main" id="{00000000-0008-0000-0E00-00009E000000}"/>
                          </a:ext>
                        </a:extLst>
                      </xdr:cNvPr>
                      <xdr:cNvSpPr txBox="1"/>
                    </xdr:nvSpPr>
                    <xdr:spPr>
                      <a:xfrm>
                        <a:off x="8499111" y="5029595"/>
                        <a:ext cx="588966" cy="1829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fld id="{5F551988-4EF0-4404-9A82-2102AFFB2184}" type="TxLink">
                          <a:rPr lang="en-US" sz="1100" b="0" i="0" u="none" strike="noStrike">
                            <a:solidFill>
                              <a:srgbClr val="000000"/>
                            </a:solidFill>
                            <a:latin typeface="Calibri"/>
                          </a:rPr>
                          <a:pPr algn="ctr"/>
                          <a:t> </a:t>
                        </a:fld>
                        <a:endParaRPr lang="en-US" sz="1100" b="0" i="0" u="none" strike="noStrike">
                          <a:solidFill>
                            <a:srgbClr val="000000"/>
                          </a:solidFill>
                          <a:latin typeface="Calibri"/>
                        </a:endParaRPr>
                      </a:p>
                    </xdr:txBody>
                  </xdr:sp>
                  <xdr:sp macro="" textlink="Other!AA15">
                    <xdr:nvSpPr>
                      <xdr:cNvPr id="159" name="TextBox 158">
                        <a:extLst>
                          <a:ext uri="{FF2B5EF4-FFF2-40B4-BE49-F238E27FC236}">
                            <a16:creationId xmlns:a16="http://schemas.microsoft.com/office/drawing/2014/main" id="{00000000-0008-0000-0E00-00009F000000}"/>
                          </a:ext>
                        </a:extLst>
                      </xdr:cNvPr>
                      <xdr:cNvSpPr txBox="1"/>
                    </xdr:nvSpPr>
                    <xdr:spPr>
                      <a:xfrm>
                        <a:off x="8499111" y="5175016"/>
                        <a:ext cx="588966" cy="1829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fld id="{490DC223-2034-4471-814D-08CCE7F74051}" type="TxLink">
                          <a:rPr lang="en-US" sz="1100" b="0" i="0" u="none" strike="noStrike">
                            <a:solidFill>
                              <a:srgbClr val="000000"/>
                            </a:solidFill>
                            <a:latin typeface="Calibri"/>
                          </a:rPr>
                          <a:pPr algn="ctr"/>
                          <a:t> </a:t>
                        </a:fld>
                        <a:endParaRPr lang="en-US" sz="1100" b="0" i="0" u="none" strike="noStrike">
                          <a:solidFill>
                            <a:srgbClr val="000000"/>
                          </a:solidFill>
                          <a:latin typeface="Calibri"/>
                        </a:endParaRPr>
                      </a:p>
                    </xdr:txBody>
                  </xdr:sp>
                  <xdr:sp macro="" textlink="Other!AA16">
                    <xdr:nvSpPr>
                      <xdr:cNvPr id="160" name="TextBox 159">
                        <a:extLst>
                          <a:ext uri="{FF2B5EF4-FFF2-40B4-BE49-F238E27FC236}">
                            <a16:creationId xmlns:a16="http://schemas.microsoft.com/office/drawing/2014/main" id="{00000000-0008-0000-0E00-0000A0000000}"/>
                          </a:ext>
                        </a:extLst>
                      </xdr:cNvPr>
                      <xdr:cNvSpPr txBox="1"/>
                    </xdr:nvSpPr>
                    <xdr:spPr>
                      <a:xfrm>
                        <a:off x="8499111" y="5320436"/>
                        <a:ext cx="588966" cy="1829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fld id="{3CC58784-4D08-470A-92BA-22C71789E696}" type="TxLink">
                          <a:rPr lang="en-US" sz="1100" b="0" i="0" u="none" strike="noStrike">
                            <a:solidFill>
                              <a:srgbClr val="000000"/>
                            </a:solidFill>
                            <a:latin typeface="Calibri"/>
                          </a:rPr>
                          <a:pPr algn="ctr"/>
                          <a:t> </a:t>
                        </a:fld>
                        <a:endParaRPr lang="en-US" sz="1100" b="0" i="0" u="none" strike="noStrike">
                          <a:solidFill>
                            <a:srgbClr val="000000"/>
                          </a:solidFill>
                          <a:latin typeface="Calibri"/>
                        </a:endParaRPr>
                      </a:p>
                    </xdr:txBody>
                  </xdr:sp>
                  <xdr:sp macro="" textlink="Other!AA17">
                    <xdr:nvSpPr>
                      <xdr:cNvPr id="161" name="TextBox 160">
                        <a:extLst>
                          <a:ext uri="{FF2B5EF4-FFF2-40B4-BE49-F238E27FC236}">
                            <a16:creationId xmlns:a16="http://schemas.microsoft.com/office/drawing/2014/main" id="{00000000-0008-0000-0E00-0000A1000000}"/>
                          </a:ext>
                        </a:extLst>
                      </xdr:cNvPr>
                      <xdr:cNvSpPr txBox="1"/>
                    </xdr:nvSpPr>
                    <xdr:spPr>
                      <a:xfrm>
                        <a:off x="8499111" y="5465856"/>
                        <a:ext cx="588966" cy="1829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fld id="{81B6D190-B658-445A-9F04-7F087D6D721A}" type="TxLink">
                          <a:rPr lang="en-US" sz="1100" b="0" i="0" u="none" strike="noStrike">
                            <a:solidFill>
                              <a:srgbClr val="000000"/>
                            </a:solidFill>
                            <a:latin typeface="Calibri"/>
                          </a:rPr>
                          <a:pPr algn="ctr"/>
                          <a:t> </a:t>
                        </a:fld>
                        <a:endParaRPr lang="en-US" sz="1100" b="0" i="0" u="none" strike="noStrike">
                          <a:solidFill>
                            <a:srgbClr val="000000"/>
                          </a:solidFill>
                          <a:latin typeface="Calibri"/>
                        </a:endParaRPr>
                      </a:p>
                    </xdr:txBody>
                  </xdr:sp>
                  <xdr:sp macro="" textlink="Other!AA8">
                    <xdr:nvSpPr>
                      <xdr:cNvPr id="162" name="TextBox 161">
                        <a:extLst>
                          <a:ext uri="{FF2B5EF4-FFF2-40B4-BE49-F238E27FC236}">
                            <a16:creationId xmlns:a16="http://schemas.microsoft.com/office/drawing/2014/main" id="{00000000-0008-0000-0E00-0000A2000000}"/>
                          </a:ext>
                        </a:extLst>
                      </xdr:cNvPr>
                      <xdr:cNvSpPr txBox="1"/>
                    </xdr:nvSpPr>
                    <xdr:spPr>
                      <a:xfrm>
                        <a:off x="8499111" y="4157074"/>
                        <a:ext cx="588967" cy="1829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fld id="{5F5CAA28-23B3-4F08-8516-E724983E7174}" type="TxLink">
                          <a:rPr lang="en-US" sz="1100" b="0" i="0" u="none" strike="noStrike">
                            <a:solidFill>
                              <a:srgbClr val="000000"/>
                            </a:solidFill>
                            <a:latin typeface="Calibri"/>
                          </a:rPr>
                          <a:pPr algn="ctr"/>
                          <a:t> </a:t>
                        </a:fld>
                        <a:endParaRPr lang="en-US" sz="1100" b="0" i="0" u="none" strike="noStrike">
                          <a:solidFill>
                            <a:srgbClr val="000000"/>
                          </a:solidFill>
                          <a:latin typeface="Calibri"/>
                        </a:endParaRPr>
                      </a:p>
                    </xdr:txBody>
                  </xdr:sp>
                  <xdr:sp macro="" textlink="Other!AA9">
                    <xdr:nvSpPr>
                      <xdr:cNvPr id="163" name="TextBox 162">
                        <a:extLst>
                          <a:ext uri="{FF2B5EF4-FFF2-40B4-BE49-F238E27FC236}">
                            <a16:creationId xmlns:a16="http://schemas.microsoft.com/office/drawing/2014/main" id="{00000000-0008-0000-0E00-0000A3000000}"/>
                          </a:ext>
                        </a:extLst>
                      </xdr:cNvPr>
                      <xdr:cNvSpPr txBox="1"/>
                    </xdr:nvSpPr>
                    <xdr:spPr>
                      <a:xfrm>
                        <a:off x="8499111" y="4302494"/>
                        <a:ext cx="588967" cy="1829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fld id="{6D9FD695-C5AE-4DE0-BCD8-52B62DB8F484}" type="TxLink">
                          <a:rPr lang="en-US" sz="1100" b="0" i="0" u="none" strike="noStrike">
                            <a:solidFill>
                              <a:srgbClr val="000000"/>
                            </a:solidFill>
                            <a:latin typeface="Calibri"/>
                          </a:rPr>
                          <a:pPr algn="ctr"/>
                          <a:t> </a:t>
                        </a:fld>
                        <a:endParaRPr lang="en-US" sz="1100" b="0" i="0" u="none" strike="noStrike">
                          <a:solidFill>
                            <a:srgbClr val="000000"/>
                          </a:solidFill>
                          <a:latin typeface="Calibri"/>
                        </a:endParaRPr>
                      </a:p>
                    </xdr:txBody>
                  </xdr:sp>
                  <xdr:sp macro="" textlink="Other!AA10">
                    <xdr:nvSpPr>
                      <xdr:cNvPr id="164" name="TextBox 163">
                        <a:extLst>
                          <a:ext uri="{FF2B5EF4-FFF2-40B4-BE49-F238E27FC236}">
                            <a16:creationId xmlns:a16="http://schemas.microsoft.com/office/drawing/2014/main" id="{00000000-0008-0000-0E00-0000A4000000}"/>
                          </a:ext>
                        </a:extLst>
                      </xdr:cNvPr>
                      <xdr:cNvSpPr txBox="1"/>
                    </xdr:nvSpPr>
                    <xdr:spPr>
                      <a:xfrm>
                        <a:off x="8499111" y="4447914"/>
                        <a:ext cx="588967" cy="1829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fld id="{3CA080FF-BAAF-4B8D-A26A-EBD170C0996D}" type="TxLink">
                          <a:rPr lang="en-US" sz="1100" b="0" i="0" u="none" strike="noStrike">
                            <a:solidFill>
                              <a:srgbClr val="000000"/>
                            </a:solidFill>
                            <a:latin typeface="Calibri"/>
                          </a:rPr>
                          <a:pPr algn="ctr"/>
                          <a:t> </a:t>
                        </a:fld>
                        <a:endParaRPr lang="en-US" sz="1100" b="0" i="0" u="none" strike="noStrike">
                          <a:solidFill>
                            <a:srgbClr val="000000"/>
                          </a:solidFill>
                          <a:latin typeface="Calibri"/>
                        </a:endParaRPr>
                      </a:p>
                    </xdr:txBody>
                  </xdr:sp>
                  <xdr:sp macro="" textlink="Other!AA11">
                    <xdr:nvSpPr>
                      <xdr:cNvPr id="165" name="TextBox 164">
                        <a:extLst>
                          <a:ext uri="{FF2B5EF4-FFF2-40B4-BE49-F238E27FC236}">
                            <a16:creationId xmlns:a16="http://schemas.microsoft.com/office/drawing/2014/main" id="{00000000-0008-0000-0E00-0000A5000000}"/>
                          </a:ext>
                        </a:extLst>
                      </xdr:cNvPr>
                      <xdr:cNvSpPr txBox="1"/>
                    </xdr:nvSpPr>
                    <xdr:spPr>
                      <a:xfrm>
                        <a:off x="8499111" y="4593335"/>
                        <a:ext cx="588967" cy="1829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fld id="{2F939133-0EA2-44EC-B521-8EF190CC8C41}" type="TxLink">
                          <a:rPr lang="en-US" sz="1100" b="0" i="0" u="none" strike="noStrike">
                            <a:solidFill>
                              <a:srgbClr val="000000"/>
                            </a:solidFill>
                            <a:latin typeface="Calibri"/>
                          </a:rPr>
                          <a:pPr algn="ctr"/>
                          <a:t> </a:t>
                        </a:fld>
                        <a:endParaRPr lang="en-US" sz="1100" b="0" i="0" u="none" strike="noStrike">
                          <a:solidFill>
                            <a:srgbClr val="000000"/>
                          </a:solidFill>
                          <a:latin typeface="Calibri"/>
                        </a:endParaRPr>
                      </a:p>
                    </xdr:txBody>
                  </xdr:sp>
                  <xdr:sp macro="" textlink="Other!AA19">
                    <xdr:nvSpPr>
                      <xdr:cNvPr id="166" name="TextBox 165">
                        <a:extLst>
                          <a:ext uri="{FF2B5EF4-FFF2-40B4-BE49-F238E27FC236}">
                            <a16:creationId xmlns:a16="http://schemas.microsoft.com/office/drawing/2014/main" id="{00000000-0008-0000-0E00-0000A6000000}"/>
                          </a:ext>
                        </a:extLst>
                      </xdr:cNvPr>
                      <xdr:cNvSpPr txBox="1"/>
                    </xdr:nvSpPr>
                    <xdr:spPr>
                      <a:xfrm>
                        <a:off x="8463041" y="3720813"/>
                        <a:ext cx="661106" cy="1829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fld id="{FE64D404-6E32-4E4D-AE89-05EAD35E7667}" type="TxLink">
                          <a:rPr lang="en-US" sz="1100" b="0" i="0" u="none" strike="noStrike">
                            <a:solidFill>
                              <a:srgbClr val="000000"/>
                            </a:solidFill>
                            <a:latin typeface="Calibri"/>
                          </a:rPr>
                          <a:pPr algn="ctr"/>
                          <a:t> </a:t>
                        </a:fld>
                        <a:endParaRPr lang="en-US" sz="1100" b="0" i="0" u="none" strike="noStrike">
                          <a:solidFill>
                            <a:srgbClr val="000000"/>
                          </a:solidFill>
                          <a:latin typeface="Calibri"/>
                        </a:endParaRPr>
                      </a:p>
                    </xdr:txBody>
                  </xdr:sp>
                </xdr:grpSp>
                <xdr:sp macro="" textlink="">
                  <xdr:nvSpPr>
                    <xdr:cNvPr id="153" name="TextBox 152">
                      <a:extLst>
                        <a:ext uri="{FF2B5EF4-FFF2-40B4-BE49-F238E27FC236}">
                          <a16:creationId xmlns:a16="http://schemas.microsoft.com/office/drawing/2014/main" id="{00000000-0008-0000-0E00-000099000000}"/>
                        </a:ext>
                      </a:extLst>
                    </xdr:cNvPr>
                    <xdr:cNvSpPr txBox="1"/>
                  </xdr:nvSpPr>
                  <xdr:spPr>
                    <a:xfrm>
                      <a:off x="4580089" y="4044445"/>
                      <a:ext cx="1166912" cy="1829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l"/>
                      <a:r>
                        <a:rPr lang="en-US" sz="1100" b="0" i="0" u="none" strike="noStrike">
                          <a:solidFill>
                            <a:srgbClr val="000000"/>
                          </a:solidFill>
                          <a:latin typeface="Calibri"/>
                        </a:rPr>
                        <a:t>Implemented By</a:t>
                      </a:r>
                    </a:p>
                  </xdr:txBody>
                </xdr:sp>
              </xdr:grpSp>
              <xdr:sp macro="" textlink="Other!Z18">
                <xdr:nvSpPr>
                  <xdr:cNvPr id="168" name="TextBox 167">
                    <a:extLst>
                      <a:ext uri="{FF2B5EF4-FFF2-40B4-BE49-F238E27FC236}">
                        <a16:creationId xmlns:a16="http://schemas.microsoft.com/office/drawing/2014/main" id="{00000000-0008-0000-0E00-0000A8000000}"/>
                      </a:ext>
                    </a:extLst>
                  </xdr:cNvPr>
                  <xdr:cNvSpPr txBox="1"/>
                </xdr:nvSpPr>
                <xdr:spPr>
                  <a:xfrm>
                    <a:off x="6450172" y="5814450"/>
                    <a:ext cx="523799" cy="1830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fld id="{B4F1F781-4741-41CC-8191-7388DDA30ED0}" type="TxLink">
                      <a:rPr lang="en-US" sz="1100" b="0" i="0" u="none" strike="noStrike">
                        <a:solidFill>
                          <a:srgbClr val="000000"/>
                        </a:solidFill>
                        <a:latin typeface="Calibri"/>
                      </a:rPr>
                      <a:pPr algn="ctr"/>
                      <a:t> </a:t>
                    </a:fld>
                    <a:endParaRPr lang="en-US" sz="1100" b="0" i="0" u="none" strike="noStrike">
                      <a:solidFill>
                        <a:srgbClr val="000000"/>
                      </a:solidFill>
                      <a:latin typeface="Calibri"/>
                    </a:endParaRPr>
                  </a:p>
                </xdr:txBody>
              </xdr:sp>
            </xdr:grpSp>
            <xdr:sp macro="" textlink="Other!AA18">
              <xdr:nvSpPr>
                <xdr:cNvPr id="172" name="TextBox 171">
                  <a:extLst>
                    <a:ext uri="{FF2B5EF4-FFF2-40B4-BE49-F238E27FC236}">
                      <a16:creationId xmlns:a16="http://schemas.microsoft.com/office/drawing/2014/main" id="{00000000-0008-0000-0E00-0000AC000000}"/>
                    </a:ext>
                  </a:extLst>
                </xdr:cNvPr>
                <xdr:cNvSpPr txBox="1"/>
              </xdr:nvSpPr>
              <xdr:spPr>
                <a:xfrm>
                  <a:off x="7307385" y="5814448"/>
                  <a:ext cx="532365" cy="1830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fld id="{7EF5B577-FF44-456A-B619-2B2FA8FB96DF}" type="TxLink">
                    <a:rPr lang="en-US" sz="1100" b="0" i="0" u="none" strike="noStrike">
                      <a:solidFill>
                        <a:srgbClr val="000000"/>
                      </a:solidFill>
                      <a:latin typeface="Calibri"/>
                    </a:rPr>
                    <a:pPr algn="ctr"/>
                    <a:t> </a:t>
                  </a:fld>
                  <a:endParaRPr lang="en-US" sz="1100" b="0" i="0" u="none" strike="noStrike">
                    <a:solidFill>
                      <a:srgbClr val="000000"/>
                    </a:solidFill>
                    <a:latin typeface="Calibri"/>
                  </a:endParaRPr>
                </a:p>
              </xdr:txBody>
            </xdr:sp>
          </xdr:grpSp>
          <xdr:sp macro="" textlink="Other!Y18">
            <xdr:nvSpPr>
              <xdr:cNvPr id="171" name="TextBox 170">
                <a:extLst>
                  <a:ext uri="{FF2B5EF4-FFF2-40B4-BE49-F238E27FC236}">
                    <a16:creationId xmlns:a16="http://schemas.microsoft.com/office/drawing/2014/main" id="{00000000-0008-0000-0E00-0000AB000000}"/>
                  </a:ext>
                </a:extLst>
              </xdr:cNvPr>
              <xdr:cNvSpPr txBox="1"/>
            </xdr:nvSpPr>
            <xdr:spPr>
              <a:xfrm>
                <a:off x="5515167" y="5814449"/>
                <a:ext cx="580648" cy="1830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fld id="{EA245509-3737-40EF-8030-E4A67D2CF3BF}" type="TxLink">
                  <a:rPr lang="en-US" sz="1100" b="0" i="0" u="none" strike="noStrike">
                    <a:solidFill>
                      <a:srgbClr val="000000"/>
                    </a:solidFill>
                    <a:latin typeface="Calibri"/>
                  </a:rPr>
                  <a:pPr algn="ctr"/>
                  <a:t>11 sec</a:t>
                </a:fld>
                <a:endParaRPr lang="en-US" sz="1100" b="0" i="0" u="none" strike="noStrike">
                  <a:solidFill>
                    <a:srgbClr val="000000"/>
                  </a:solidFill>
                  <a:latin typeface="Calibri"/>
                </a:endParaRPr>
              </a:p>
            </xdr:txBody>
          </xdr:sp>
        </xdr:grpSp>
        <xdr:sp macro="" textlink="">
          <xdr:nvSpPr>
            <xdr:cNvPr id="145" name="TextBox 144">
              <a:extLst>
                <a:ext uri="{FF2B5EF4-FFF2-40B4-BE49-F238E27FC236}">
                  <a16:creationId xmlns:a16="http://schemas.microsoft.com/office/drawing/2014/main" id="{00000000-0008-0000-0E00-000091000000}"/>
                </a:ext>
              </a:extLst>
            </xdr:cNvPr>
            <xdr:cNvSpPr txBox="1"/>
          </xdr:nvSpPr>
          <xdr:spPr>
            <a:xfrm>
              <a:off x="4183840" y="3925832"/>
              <a:ext cx="1104735" cy="1829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l"/>
              <a:r>
                <a:rPr lang="en-US" sz="1100" b="0" i="0" u="none" strike="noStrike">
                  <a:solidFill>
                    <a:srgbClr val="000000"/>
                  </a:solidFill>
                  <a:latin typeface="Calibri"/>
                </a:rPr>
                <a:t>Implemented On</a:t>
              </a:r>
            </a:p>
          </xdr:txBody>
        </xdr:sp>
      </xdr:grpSp>
      <xdr:sp macro="" textlink="">
        <xdr:nvSpPr>
          <xdr:cNvPr id="178" name="TextBox 177">
            <a:extLst>
              <a:ext uri="{FF2B5EF4-FFF2-40B4-BE49-F238E27FC236}">
                <a16:creationId xmlns:a16="http://schemas.microsoft.com/office/drawing/2014/main" id="{00000000-0008-0000-0E00-0000B2000000}"/>
              </a:ext>
            </a:extLst>
          </xdr:cNvPr>
          <xdr:cNvSpPr txBox="1"/>
        </xdr:nvSpPr>
        <xdr:spPr>
          <a:xfrm>
            <a:off x="4183840" y="3634917"/>
            <a:ext cx="1154431" cy="1829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l"/>
            <a:r>
              <a:rPr lang="en-US" sz="1100" b="0" i="0" u="none" strike="noStrike">
                <a:solidFill>
                  <a:srgbClr val="000000"/>
                </a:solidFill>
                <a:latin typeface="Calibri"/>
              </a:rPr>
              <a:t>Calcs Prepared On</a:t>
            </a:r>
          </a:p>
        </xdr:txBody>
      </xdr:sp>
      <xdr:sp macro="" textlink="Other!Y5">
        <xdr:nvSpPr>
          <xdr:cNvPr id="179" name="TextBox 178">
            <a:extLst>
              <a:ext uri="{FF2B5EF4-FFF2-40B4-BE49-F238E27FC236}">
                <a16:creationId xmlns:a16="http://schemas.microsoft.com/office/drawing/2014/main" id="{00000000-0008-0000-0E00-0000B3000000}"/>
              </a:ext>
            </a:extLst>
          </xdr:cNvPr>
          <xdr:cNvSpPr txBox="1"/>
        </xdr:nvSpPr>
        <xdr:spPr>
          <a:xfrm>
            <a:off x="5233607" y="3634828"/>
            <a:ext cx="1072801" cy="1830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fld id="{750D83BB-8F52-4970-B949-772DC4962133}" type="TxLink">
              <a:rPr lang="en-US" sz="1100" b="0" i="0" u="none" strike="noStrike">
                <a:solidFill>
                  <a:srgbClr val="000000"/>
                </a:solidFill>
                <a:latin typeface="Calibri"/>
              </a:rPr>
              <a:pPr algn="ctr"/>
              <a:t>-</a:t>
            </a:fld>
            <a:endParaRPr lang="en-US" sz="1100" b="0" i="0" u="none" strike="noStrike">
              <a:solidFill>
                <a:srgbClr val="000000"/>
              </a:solidFill>
              <a:latin typeface="Calibri"/>
            </a:endParaRPr>
          </a:p>
        </xdr:txBody>
      </xdr:sp>
      <xdr:sp macro="" textlink="">
        <xdr:nvSpPr>
          <xdr:cNvPr id="180" name="TextBox 179">
            <a:extLst>
              <a:ext uri="{FF2B5EF4-FFF2-40B4-BE49-F238E27FC236}">
                <a16:creationId xmlns:a16="http://schemas.microsoft.com/office/drawing/2014/main" id="{00000000-0008-0000-0E00-0000B4000000}"/>
              </a:ext>
            </a:extLst>
          </xdr:cNvPr>
          <xdr:cNvSpPr txBox="1"/>
        </xdr:nvSpPr>
        <xdr:spPr>
          <a:xfrm>
            <a:off x="4183840" y="3780375"/>
            <a:ext cx="1154431" cy="1829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l"/>
            <a:r>
              <a:rPr lang="en-US" sz="1100" b="0" i="0" u="none" strike="noStrike">
                <a:solidFill>
                  <a:srgbClr val="000000"/>
                </a:solidFill>
                <a:latin typeface="Calibri"/>
              </a:rPr>
              <a:t>Calcs Prepared By</a:t>
            </a:r>
          </a:p>
        </xdr:txBody>
      </xdr:sp>
      <xdr:sp macro="" textlink="Other!Y6">
        <xdr:nvSpPr>
          <xdr:cNvPr id="181" name="TextBox 180">
            <a:extLst>
              <a:ext uri="{FF2B5EF4-FFF2-40B4-BE49-F238E27FC236}">
                <a16:creationId xmlns:a16="http://schemas.microsoft.com/office/drawing/2014/main" id="{00000000-0008-0000-0E00-0000B5000000}"/>
              </a:ext>
            </a:extLst>
          </xdr:cNvPr>
          <xdr:cNvSpPr txBox="1"/>
        </xdr:nvSpPr>
        <xdr:spPr>
          <a:xfrm>
            <a:off x="5342504" y="3780293"/>
            <a:ext cx="855008" cy="1830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fld id="{00474D61-DF0D-4B06-8769-34195B3AFA16}" type="TxLink">
              <a:rPr lang="en-US" sz="1100" b="0" i="0" u="none" strike="noStrike">
                <a:solidFill>
                  <a:srgbClr val="000000"/>
                </a:solidFill>
                <a:latin typeface="Calibri"/>
              </a:rPr>
              <a:pPr algn="ctr"/>
              <a:t>-</a:t>
            </a:fld>
            <a:endParaRPr lang="en-US" sz="1100" b="0" i="0" u="none" strike="noStrike">
              <a:solidFill>
                <a:srgbClr val="000000"/>
              </a:solidFill>
              <a:latin typeface="Calibri"/>
            </a:endParaRPr>
          </a:p>
        </xdr:txBody>
      </xdr:sp>
      <xdr:sp macro="" textlink="Other!AA5">
        <xdr:nvSpPr>
          <xdr:cNvPr id="182" name="TextBox 181">
            <a:extLst>
              <a:ext uri="{FF2B5EF4-FFF2-40B4-BE49-F238E27FC236}">
                <a16:creationId xmlns:a16="http://schemas.microsoft.com/office/drawing/2014/main" id="{00000000-0008-0000-0E00-0000B6000000}"/>
              </a:ext>
            </a:extLst>
          </xdr:cNvPr>
          <xdr:cNvSpPr txBox="1"/>
        </xdr:nvSpPr>
        <xdr:spPr>
          <a:xfrm>
            <a:off x="6992948" y="3634828"/>
            <a:ext cx="1072801" cy="1830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fld id="{48E1AC9A-D931-4DBF-B990-DD00B652DDAA}" type="TxLink">
              <a:rPr lang="en-US" sz="1100" b="0" i="0" u="none" strike="noStrike">
                <a:solidFill>
                  <a:srgbClr val="000000"/>
                </a:solidFill>
                <a:latin typeface="Calibri"/>
              </a:rPr>
              <a:pPr algn="ctr"/>
              <a:t> </a:t>
            </a:fld>
            <a:endParaRPr lang="en-US" sz="1100" b="0" i="0" u="none" strike="noStrike">
              <a:solidFill>
                <a:srgbClr val="000000"/>
              </a:solidFill>
              <a:latin typeface="Calibri"/>
            </a:endParaRPr>
          </a:p>
        </xdr:txBody>
      </xdr:sp>
      <xdr:sp macro="" textlink="Other!Z5">
        <xdr:nvSpPr>
          <xdr:cNvPr id="183" name="TextBox 182">
            <a:extLst>
              <a:ext uri="{FF2B5EF4-FFF2-40B4-BE49-F238E27FC236}">
                <a16:creationId xmlns:a16="http://schemas.microsoft.com/office/drawing/2014/main" id="{00000000-0008-0000-0E00-0000B7000000}"/>
              </a:ext>
            </a:extLst>
          </xdr:cNvPr>
          <xdr:cNvSpPr txBox="1"/>
        </xdr:nvSpPr>
        <xdr:spPr>
          <a:xfrm>
            <a:off x="6135708" y="3634830"/>
            <a:ext cx="1072801" cy="1830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fld id="{73ABCA42-60AF-4951-B24C-FD27395E5E67}" type="TxLink">
              <a:rPr lang="en-US" sz="1100" b="0" i="0" u="none" strike="noStrike">
                <a:solidFill>
                  <a:srgbClr val="000000"/>
                </a:solidFill>
                <a:latin typeface="Calibri"/>
              </a:rPr>
              <a:pPr algn="ctr"/>
              <a:t> </a:t>
            </a:fld>
            <a:endParaRPr lang="en-US" sz="1100" b="0" i="0" u="none" strike="noStrike">
              <a:solidFill>
                <a:srgbClr val="000000"/>
              </a:solidFill>
              <a:latin typeface="Calibri"/>
            </a:endParaRPr>
          </a:p>
        </xdr:txBody>
      </xdr:sp>
      <xdr:sp macro="" textlink="Other!AA6">
        <xdr:nvSpPr>
          <xdr:cNvPr id="184" name="TextBox 183">
            <a:extLst>
              <a:ext uri="{FF2B5EF4-FFF2-40B4-BE49-F238E27FC236}">
                <a16:creationId xmlns:a16="http://schemas.microsoft.com/office/drawing/2014/main" id="{00000000-0008-0000-0E00-0000B8000000}"/>
              </a:ext>
            </a:extLst>
          </xdr:cNvPr>
          <xdr:cNvSpPr txBox="1"/>
        </xdr:nvSpPr>
        <xdr:spPr>
          <a:xfrm>
            <a:off x="6992948" y="3780293"/>
            <a:ext cx="1072801" cy="1830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fld id="{1EE20122-08F4-40D1-A313-8E95D2E4C71B}" type="TxLink">
              <a:rPr lang="en-US" sz="1100" b="0" i="0" u="none" strike="noStrike">
                <a:solidFill>
                  <a:srgbClr val="000000"/>
                </a:solidFill>
                <a:latin typeface="Calibri"/>
              </a:rPr>
              <a:pPr algn="ctr"/>
              <a:t> </a:t>
            </a:fld>
            <a:endParaRPr lang="en-US" sz="1100" b="0" i="0" u="none" strike="noStrike">
              <a:solidFill>
                <a:srgbClr val="000000"/>
              </a:solidFill>
              <a:latin typeface="Calibri"/>
            </a:endParaRPr>
          </a:p>
        </xdr:txBody>
      </xdr:sp>
      <xdr:sp macro="" textlink="Other!Z6">
        <xdr:nvSpPr>
          <xdr:cNvPr id="185" name="TextBox 184">
            <a:extLst>
              <a:ext uri="{FF2B5EF4-FFF2-40B4-BE49-F238E27FC236}">
                <a16:creationId xmlns:a16="http://schemas.microsoft.com/office/drawing/2014/main" id="{00000000-0008-0000-0E00-0000B9000000}"/>
              </a:ext>
            </a:extLst>
          </xdr:cNvPr>
          <xdr:cNvSpPr txBox="1"/>
        </xdr:nvSpPr>
        <xdr:spPr>
          <a:xfrm>
            <a:off x="6135708" y="3780295"/>
            <a:ext cx="1072801" cy="1830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ctr"/>
          <a:lstStyle/>
          <a:p>
            <a:pPr algn="ctr"/>
            <a:fld id="{7143C004-8037-4541-976A-FE52A3DC29F1}" type="TxLink">
              <a:rPr lang="en-US" sz="1100" b="0" i="0" u="none" strike="noStrike">
                <a:solidFill>
                  <a:srgbClr val="000000"/>
                </a:solidFill>
                <a:latin typeface="Calibri"/>
              </a:rPr>
              <a:pPr algn="ctr"/>
              <a:t> </a:t>
            </a:fld>
            <a:endParaRPr lang="en-US" sz="1100" b="0" i="0" u="none" strike="noStrike">
              <a:solidFill>
                <a:srgbClr val="000000"/>
              </a:solidFill>
              <a:latin typeface="Calibri"/>
            </a:endParaRPr>
          </a:p>
        </xdr:txBody>
      </xdr:sp>
    </xdr:grpSp>
    <xdr:clientData/>
  </xdr:twoCellAnchor>
  <xdr:twoCellAnchor editAs="oneCell">
    <xdr:from>
      <xdr:col>0</xdr:col>
      <xdr:colOff>42345</xdr:colOff>
      <xdr:row>0</xdr:row>
      <xdr:rowOff>42338</xdr:rowOff>
    </xdr:from>
    <xdr:to>
      <xdr:col>7</xdr:col>
      <xdr:colOff>111856</xdr:colOff>
      <xdr:row>0</xdr:row>
      <xdr:rowOff>485851</xdr:rowOff>
    </xdr:to>
    <xdr:pic>
      <xdr:nvPicPr>
        <xdr:cNvPr id="130" name="Picture 129">
          <a:extLst>
            <a:ext uri="{FF2B5EF4-FFF2-40B4-BE49-F238E27FC236}">
              <a16:creationId xmlns:a16="http://schemas.microsoft.com/office/drawing/2014/main" id="{00000000-0008-0000-0E00-00008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2345" y="42338"/>
          <a:ext cx="1707811" cy="44351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52387</xdr:colOff>
      <xdr:row>2</xdr:row>
      <xdr:rowOff>38100</xdr:rowOff>
    </xdr:from>
    <xdr:to>
      <xdr:col>0</xdr:col>
      <xdr:colOff>655637</xdr:colOff>
      <xdr:row>2</xdr:row>
      <xdr:rowOff>723900</xdr:rowOff>
    </xdr:to>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2387" y="38100"/>
          <a:ext cx="603250" cy="685800"/>
        </a:xfrm>
        <a:prstGeom prst="rect">
          <a:avLst/>
        </a:prstGeom>
      </xdr:spPr>
    </xdr:pic>
    <xdr:clientData/>
  </xdr:twoCellAnchor>
  <xdr:oneCellAnchor>
    <xdr:from>
      <xdr:col>0</xdr:col>
      <xdr:colOff>52387</xdr:colOff>
      <xdr:row>3</xdr:row>
      <xdr:rowOff>38100</xdr:rowOff>
    </xdr:from>
    <xdr:ext cx="603250" cy="685800"/>
    <xdr:pic>
      <xdr:nvPicPr>
        <xdr:cNvPr id="30" name="Picture 29">
          <a:extLst>
            <a:ext uri="{FF2B5EF4-FFF2-40B4-BE49-F238E27FC236}">
              <a16:creationId xmlns:a16="http://schemas.microsoft.com/office/drawing/2014/main" id="{00000000-0008-0000-0F00-00001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387" y="6134100"/>
          <a:ext cx="603250" cy="685800"/>
        </a:xfrm>
        <a:prstGeom prst="rect">
          <a:avLst/>
        </a:prstGeom>
      </xdr:spPr>
    </xdr:pic>
    <xdr:clientData/>
  </xdr:oneCellAnchor>
  <xdr:oneCellAnchor>
    <xdr:from>
      <xdr:col>0</xdr:col>
      <xdr:colOff>52387</xdr:colOff>
      <xdr:row>4</xdr:row>
      <xdr:rowOff>38100</xdr:rowOff>
    </xdr:from>
    <xdr:ext cx="603250" cy="685800"/>
    <xdr:pic>
      <xdr:nvPicPr>
        <xdr:cNvPr id="31" name="Picture 30">
          <a:extLst>
            <a:ext uri="{FF2B5EF4-FFF2-40B4-BE49-F238E27FC236}">
              <a16:creationId xmlns:a16="http://schemas.microsoft.com/office/drawing/2014/main" id="{00000000-0008-0000-0F00-00001F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2387" y="6896100"/>
          <a:ext cx="603250" cy="685800"/>
        </a:xfrm>
        <a:prstGeom prst="rect">
          <a:avLst/>
        </a:prstGeom>
      </xdr:spPr>
    </xdr:pic>
    <xdr:clientData/>
  </xdr:oneCellAnchor>
  <xdr:oneCellAnchor>
    <xdr:from>
      <xdr:col>0</xdr:col>
      <xdr:colOff>52387</xdr:colOff>
      <xdr:row>5</xdr:row>
      <xdr:rowOff>38100</xdr:rowOff>
    </xdr:from>
    <xdr:ext cx="603250" cy="685800"/>
    <xdr:pic>
      <xdr:nvPicPr>
        <xdr:cNvPr id="32" name="Picture 31">
          <a:extLst>
            <a:ext uri="{FF2B5EF4-FFF2-40B4-BE49-F238E27FC236}">
              <a16:creationId xmlns:a16="http://schemas.microsoft.com/office/drawing/2014/main" id="{00000000-0008-0000-0F00-000020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2387" y="6896100"/>
          <a:ext cx="603250" cy="685800"/>
        </a:xfrm>
        <a:prstGeom prst="rect">
          <a:avLst/>
        </a:prstGeom>
      </xdr:spPr>
    </xdr:pic>
    <xdr:clientData/>
  </xdr:oneCellAnchor>
  <xdr:oneCellAnchor>
    <xdr:from>
      <xdr:col>0</xdr:col>
      <xdr:colOff>52387</xdr:colOff>
      <xdr:row>6</xdr:row>
      <xdr:rowOff>38100</xdr:rowOff>
    </xdr:from>
    <xdr:ext cx="603250" cy="685800"/>
    <xdr:pic>
      <xdr:nvPicPr>
        <xdr:cNvPr id="33" name="Picture 32">
          <a:extLst>
            <a:ext uri="{FF2B5EF4-FFF2-40B4-BE49-F238E27FC236}">
              <a16:creationId xmlns:a16="http://schemas.microsoft.com/office/drawing/2014/main" id="{00000000-0008-0000-0F00-000021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2387" y="6896100"/>
          <a:ext cx="603250" cy="685800"/>
        </a:xfrm>
        <a:prstGeom prst="rect">
          <a:avLst/>
        </a:prstGeom>
      </xdr:spPr>
    </xdr:pic>
    <xdr:clientData/>
  </xdr:oneCellAnchor>
  <xdr:oneCellAnchor>
    <xdr:from>
      <xdr:col>0</xdr:col>
      <xdr:colOff>52387</xdr:colOff>
      <xdr:row>7</xdr:row>
      <xdr:rowOff>38100</xdr:rowOff>
    </xdr:from>
    <xdr:ext cx="603250" cy="685800"/>
    <xdr:pic>
      <xdr:nvPicPr>
        <xdr:cNvPr id="34" name="Picture 33">
          <a:extLst>
            <a:ext uri="{FF2B5EF4-FFF2-40B4-BE49-F238E27FC236}">
              <a16:creationId xmlns:a16="http://schemas.microsoft.com/office/drawing/2014/main" id="{00000000-0008-0000-0F00-000022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52387" y="6134100"/>
          <a:ext cx="603250" cy="685800"/>
        </a:xfrm>
        <a:prstGeom prst="rect">
          <a:avLst/>
        </a:prstGeom>
      </xdr:spPr>
    </xdr:pic>
    <xdr:clientData/>
  </xdr:oneCellAnchor>
  <xdr:oneCellAnchor>
    <xdr:from>
      <xdr:col>0</xdr:col>
      <xdr:colOff>52387</xdr:colOff>
      <xdr:row>1</xdr:row>
      <xdr:rowOff>38100</xdr:rowOff>
    </xdr:from>
    <xdr:ext cx="603250" cy="685800"/>
    <xdr:pic>
      <xdr:nvPicPr>
        <xdr:cNvPr id="36" name="Picture 35">
          <a:extLst>
            <a:ext uri="{FF2B5EF4-FFF2-40B4-BE49-F238E27FC236}">
              <a16:creationId xmlns:a16="http://schemas.microsoft.com/office/drawing/2014/main" id="{00000000-0008-0000-0F00-00002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2387" y="6896100"/>
          <a:ext cx="603250" cy="685800"/>
        </a:xfrm>
        <a:prstGeom prst="rect">
          <a:avLst/>
        </a:prstGeom>
      </xdr:spPr>
    </xdr:pic>
    <xdr:clientData/>
  </xdr:oneCellAnchor>
  <xdr:oneCellAnchor>
    <xdr:from>
      <xdr:col>0</xdr:col>
      <xdr:colOff>52387</xdr:colOff>
      <xdr:row>0</xdr:row>
      <xdr:rowOff>0</xdr:rowOff>
    </xdr:from>
    <xdr:ext cx="603250" cy="685800"/>
    <xdr:pic>
      <xdr:nvPicPr>
        <xdr:cNvPr id="37" name="Picture 36">
          <a:extLst>
            <a:ext uri="{FF2B5EF4-FFF2-40B4-BE49-F238E27FC236}">
              <a16:creationId xmlns:a16="http://schemas.microsoft.com/office/drawing/2014/main" id="{00000000-0008-0000-0F00-000025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2387" y="0"/>
          <a:ext cx="603250" cy="68580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3</xdr:col>
      <xdr:colOff>247650</xdr:colOff>
      <xdr:row>21</xdr:row>
      <xdr:rowOff>161925</xdr:rowOff>
    </xdr:from>
    <xdr:to>
      <xdr:col>3</xdr:col>
      <xdr:colOff>657225</xdr:colOff>
      <xdr:row>23</xdr:row>
      <xdr:rowOff>12700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100-000003000000}"/>
            </a:ext>
          </a:extLst>
        </xdr:cNvPr>
        <xdr:cNvSpPr txBox="1"/>
      </xdr:nvSpPr>
      <xdr:spPr>
        <a:xfrm>
          <a:off x="3648075" y="3124200"/>
          <a:ext cx="409575" cy="127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800" b="0" i="0" u="sng" strike="noStrike">
              <a:solidFill>
                <a:srgbClr val="0000FF"/>
              </a:solidFill>
              <a:latin typeface="Calibri"/>
            </a:rPr>
            <a:t>Definition</a:t>
          </a:r>
        </a:p>
      </xdr:txBody>
    </xdr:sp>
    <xdr:clientData/>
  </xdr:twoCellAnchor>
  <xdr:twoCellAnchor>
    <xdr:from>
      <xdr:col>3</xdr:col>
      <xdr:colOff>250825</xdr:colOff>
      <xdr:row>28</xdr:row>
      <xdr:rowOff>166158</xdr:rowOff>
    </xdr:from>
    <xdr:to>
      <xdr:col>3</xdr:col>
      <xdr:colOff>660400</xdr:colOff>
      <xdr:row>29</xdr:row>
      <xdr:rowOff>137583</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100-000004000000}"/>
            </a:ext>
          </a:extLst>
        </xdr:cNvPr>
        <xdr:cNvSpPr txBox="1"/>
      </xdr:nvSpPr>
      <xdr:spPr>
        <a:xfrm>
          <a:off x="3902075" y="4346575"/>
          <a:ext cx="409575" cy="1619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800" b="0" i="0" u="sng" strike="noStrike">
              <a:solidFill>
                <a:srgbClr val="0000FF"/>
              </a:solidFill>
              <a:latin typeface="Calibri"/>
            </a:rPr>
            <a:t>Definition</a:t>
          </a:r>
        </a:p>
      </xdr:txBody>
    </xdr:sp>
    <xdr:clientData/>
  </xdr:twoCellAnchor>
  <xdr:twoCellAnchor>
    <xdr:from>
      <xdr:col>3</xdr:col>
      <xdr:colOff>234462</xdr:colOff>
      <xdr:row>31</xdr:row>
      <xdr:rowOff>166158</xdr:rowOff>
    </xdr:from>
    <xdr:to>
      <xdr:col>3</xdr:col>
      <xdr:colOff>665692</xdr:colOff>
      <xdr:row>32</xdr:row>
      <xdr:rowOff>153865</xdr:rowOff>
    </xdr:to>
    <xdr:sp macro="" textlink="">
      <xdr:nvSpPr>
        <xdr:cNvPr id="5" name="TextBox 4">
          <a:hlinkClick xmlns:r="http://schemas.openxmlformats.org/officeDocument/2006/relationships" r:id="rId3"/>
          <a:extLst>
            <a:ext uri="{FF2B5EF4-FFF2-40B4-BE49-F238E27FC236}">
              <a16:creationId xmlns:a16="http://schemas.microsoft.com/office/drawing/2014/main" id="{00000000-0008-0000-0100-000005000000}"/>
            </a:ext>
          </a:extLst>
        </xdr:cNvPr>
        <xdr:cNvSpPr txBox="1"/>
      </xdr:nvSpPr>
      <xdr:spPr>
        <a:xfrm>
          <a:off x="3634154" y="5038562"/>
          <a:ext cx="431230" cy="1782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800" b="0" i="0" u="sng" strike="noStrike">
              <a:solidFill>
                <a:srgbClr val="0000FF"/>
              </a:solidFill>
              <a:latin typeface="Calibri"/>
            </a:rPr>
            <a:t>Definition</a:t>
          </a:r>
        </a:p>
      </xdr:txBody>
    </xdr:sp>
    <xdr:clientData/>
  </xdr:twoCellAnchor>
  <xdr:twoCellAnchor editAs="oneCell">
    <xdr:from>
      <xdr:col>0</xdr:col>
      <xdr:colOff>42345</xdr:colOff>
      <xdr:row>0</xdr:row>
      <xdr:rowOff>42338</xdr:rowOff>
    </xdr:from>
    <xdr:to>
      <xdr:col>1</xdr:col>
      <xdr:colOff>207106</xdr:colOff>
      <xdr:row>0</xdr:row>
      <xdr:rowOff>485851</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2345" y="42338"/>
          <a:ext cx="1707811" cy="443513"/>
        </a:xfrm>
        <a:prstGeom prst="rect">
          <a:avLst/>
        </a:prstGeom>
      </xdr:spPr>
    </xdr:pic>
    <xdr:clientData/>
  </xdr:twoCellAnchor>
  <xdr:twoCellAnchor>
    <xdr:from>
      <xdr:col>7</xdr:col>
      <xdr:colOff>31750</xdr:colOff>
      <xdr:row>13</xdr:row>
      <xdr:rowOff>10583</xdr:rowOff>
    </xdr:from>
    <xdr:to>
      <xdr:col>27</xdr:col>
      <xdr:colOff>80818</xdr:colOff>
      <xdr:row>13</xdr:row>
      <xdr:rowOff>137583</xdr:rowOff>
    </xdr:to>
    <xdr:sp macro="" textlink="">
      <xdr:nvSpPr>
        <xdr:cNvPr id="10" name="TextBox 9">
          <a:hlinkClick xmlns:r="http://schemas.openxmlformats.org/officeDocument/2006/relationships" r:id="rId5"/>
          <a:extLst>
            <a:ext uri="{FF2B5EF4-FFF2-40B4-BE49-F238E27FC236}">
              <a16:creationId xmlns:a16="http://schemas.microsoft.com/office/drawing/2014/main" id="{00000000-0008-0000-0100-00000A000000}"/>
            </a:ext>
          </a:extLst>
        </xdr:cNvPr>
        <xdr:cNvSpPr txBox="1"/>
      </xdr:nvSpPr>
      <xdr:spPr>
        <a:xfrm>
          <a:off x="6021917" y="2233083"/>
          <a:ext cx="3456901" cy="127000"/>
        </a:xfrm>
        <a:prstGeom prst="rect">
          <a:avLst/>
        </a:prstGeom>
        <a:solidFill>
          <a:sysClr val="window" lastClr="FFFFFF"/>
        </a:solidFill>
        <a:ln w="9525" cmpd="sng">
          <a:noFill/>
        </a:ln>
        <a:effectLst/>
      </xdr:spPr>
      <xdr:txBody>
        <a:bodyPr vertOverflow="clip" horzOverflow="clip" wrap="square"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0" i="0" u="sng" strike="noStrike" kern="0" cap="none" spc="0" normalizeH="0" baseline="0" noProof="0">
              <a:ln>
                <a:noFill/>
              </a:ln>
              <a:solidFill>
                <a:srgbClr val="0000FF"/>
              </a:solidFill>
              <a:effectLst/>
              <a:uLnTx/>
              <a:uFillTx/>
              <a:latin typeface="Calibri"/>
              <a:ea typeface="+mn-ea"/>
              <a:cs typeface="+mn-cs"/>
            </a:rPr>
            <a:t>http://safetydata.fra.dot.gov/officeofsafety/publicsite/crossing/xingqryloc.aspx</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241300</xdr:colOff>
      <xdr:row>18</xdr:row>
      <xdr:rowOff>158750</xdr:rowOff>
    </xdr:from>
    <xdr:to>
      <xdr:col>3</xdr:col>
      <xdr:colOff>650875</xdr:colOff>
      <xdr:row>20</xdr:row>
      <xdr:rowOff>6350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200-000003000000}"/>
            </a:ext>
          </a:extLst>
        </xdr:cNvPr>
        <xdr:cNvSpPr txBox="1"/>
      </xdr:nvSpPr>
      <xdr:spPr>
        <a:xfrm>
          <a:off x="3651250" y="2774950"/>
          <a:ext cx="409575" cy="127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800" b="0" i="0" u="sng" strike="noStrike">
              <a:solidFill>
                <a:srgbClr val="0000FF"/>
              </a:solidFill>
              <a:latin typeface="Calibri"/>
            </a:rPr>
            <a:t>Definition</a:t>
          </a:r>
        </a:p>
      </xdr:txBody>
    </xdr:sp>
    <xdr:clientData/>
  </xdr:twoCellAnchor>
  <xdr:twoCellAnchor>
    <xdr:from>
      <xdr:col>3</xdr:col>
      <xdr:colOff>247650</xdr:colOff>
      <xdr:row>20</xdr:row>
      <xdr:rowOff>158750</xdr:rowOff>
    </xdr:from>
    <xdr:to>
      <xdr:col>3</xdr:col>
      <xdr:colOff>657225</xdr:colOff>
      <xdr:row>22</xdr:row>
      <xdr:rowOff>6350</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200-000004000000}"/>
            </a:ext>
          </a:extLst>
        </xdr:cNvPr>
        <xdr:cNvSpPr txBox="1"/>
      </xdr:nvSpPr>
      <xdr:spPr>
        <a:xfrm>
          <a:off x="3657600" y="3054350"/>
          <a:ext cx="409575" cy="127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800" b="0" i="0" u="sng" strike="noStrike">
              <a:solidFill>
                <a:srgbClr val="0000FF"/>
              </a:solidFill>
              <a:latin typeface="Calibri"/>
            </a:rPr>
            <a:t>Definition</a:t>
          </a:r>
        </a:p>
      </xdr:txBody>
    </xdr:sp>
    <xdr:clientData/>
  </xdr:twoCellAnchor>
  <xdr:twoCellAnchor>
    <xdr:from>
      <xdr:col>3</xdr:col>
      <xdr:colOff>241300</xdr:colOff>
      <xdr:row>22</xdr:row>
      <xdr:rowOff>152400</xdr:rowOff>
    </xdr:from>
    <xdr:to>
      <xdr:col>3</xdr:col>
      <xdr:colOff>650875</xdr:colOff>
      <xdr:row>24</xdr:row>
      <xdr:rowOff>0</xdr:rowOff>
    </xdr:to>
    <xdr:sp macro="" textlink="">
      <xdr:nvSpPr>
        <xdr:cNvPr id="5" name="TextBox 4">
          <a:hlinkClick xmlns:r="http://schemas.openxmlformats.org/officeDocument/2006/relationships" r:id="rId3"/>
          <a:extLst>
            <a:ext uri="{FF2B5EF4-FFF2-40B4-BE49-F238E27FC236}">
              <a16:creationId xmlns:a16="http://schemas.microsoft.com/office/drawing/2014/main" id="{00000000-0008-0000-0200-000005000000}"/>
            </a:ext>
          </a:extLst>
        </xdr:cNvPr>
        <xdr:cNvSpPr txBox="1"/>
      </xdr:nvSpPr>
      <xdr:spPr>
        <a:xfrm>
          <a:off x="3651250" y="3327400"/>
          <a:ext cx="409575" cy="127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800" b="0" i="0" u="sng" strike="noStrike">
              <a:solidFill>
                <a:srgbClr val="0000FF"/>
              </a:solidFill>
              <a:latin typeface="Calibri"/>
            </a:rPr>
            <a:t>Definition</a:t>
          </a:r>
        </a:p>
      </xdr:txBody>
    </xdr:sp>
    <xdr:clientData/>
  </xdr:twoCellAnchor>
  <xdr:twoCellAnchor>
    <xdr:from>
      <xdr:col>3</xdr:col>
      <xdr:colOff>247650</xdr:colOff>
      <xdr:row>24</xdr:row>
      <xdr:rowOff>165100</xdr:rowOff>
    </xdr:from>
    <xdr:to>
      <xdr:col>3</xdr:col>
      <xdr:colOff>657225</xdr:colOff>
      <xdr:row>26</xdr:row>
      <xdr:rowOff>12700</xdr:rowOff>
    </xdr:to>
    <xdr:sp macro="" textlink="">
      <xdr:nvSpPr>
        <xdr:cNvPr id="7" name="TextBox 6">
          <a:hlinkClick xmlns:r="http://schemas.openxmlformats.org/officeDocument/2006/relationships" r:id="rId4"/>
          <a:extLst>
            <a:ext uri="{FF2B5EF4-FFF2-40B4-BE49-F238E27FC236}">
              <a16:creationId xmlns:a16="http://schemas.microsoft.com/office/drawing/2014/main" id="{00000000-0008-0000-0200-000007000000}"/>
            </a:ext>
          </a:extLst>
        </xdr:cNvPr>
        <xdr:cNvSpPr txBox="1"/>
      </xdr:nvSpPr>
      <xdr:spPr>
        <a:xfrm>
          <a:off x="3657600" y="3619500"/>
          <a:ext cx="409575" cy="127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800" b="0" i="0" u="sng" strike="noStrike">
              <a:solidFill>
                <a:srgbClr val="0000FF"/>
              </a:solidFill>
              <a:latin typeface="Calibri"/>
            </a:rPr>
            <a:t>Definition</a:t>
          </a:r>
        </a:p>
      </xdr:txBody>
    </xdr:sp>
    <xdr:clientData/>
  </xdr:twoCellAnchor>
  <xdr:twoCellAnchor>
    <xdr:from>
      <xdr:col>3</xdr:col>
      <xdr:colOff>234950</xdr:colOff>
      <xdr:row>26</xdr:row>
      <xdr:rowOff>158750</xdr:rowOff>
    </xdr:from>
    <xdr:to>
      <xdr:col>3</xdr:col>
      <xdr:colOff>644525</xdr:colOff>
      <xdr:row>28</xdr:row>
      <xdr:rowOff>6350</xdr:rowOff>
    </xdr:to>
    <xdr:sp macro="" textlink="">
      <xdr:nvSpPr>
        <xdr:cNvPr id="8" name="TextBox 7">
          <a:hlinkClick xmlns:r="http://schemas.openxmlformats.org/officeDocument/2006/relationships" r:id="rId5"/>
          <a:extLst>
            <a:ext uri="{FF2B5EF4-FFF2-40B4-BE49-F238E27FC236}">
              <a16:creationId xmlns:a16="http://schemas.microsoft.com/office/drawing/2014/main" id="{00000000-0008-0000-0200-000008000000}"/>
            </a:ext>
          </a:extLst>
        </xdr:cNvPr>
        <xdr:cNvSpPr txBox="1"/>
      </xdr:nvSpPr>
      <xdr:spPr>
        <a:xfrm>
          <a:off x="3644900" y="3892550"/>
          <a:ext cx="409575" cy="127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800" b="0" i="0" u="sng" strike="noStrike">
              <a:solidFill>
                <a:srgbClr val="0000FF"/>
              </a:solidFill>
              <a:latin typeface="Calibri"/>
            </a:rPr>
            <a:t>Definition</a:t>
          </a:r>
        </a:p>
      </xdr:txBody>
    </xdr:sp>
    <xdr:clientData/>
  </xdr:twoCellAnchor>
  <xdr:twoCellAnchor>
    <xdr:from>
      <xdr:col>3</xdr:col>
      <xdr:colOff>247650</xdr:colOff>
      <xdr:row>28</xdr:row>
      <xdr:rowOff>165100</xdr:rowOff>
    </xdr:from>
    <xdr:to>
      <xdr:col>3</xdr:col>
      <xdr:colOff>657225</xdr:colOff>
      <xdr:row>30</xdr:row>
      <xdr:rowOff>12700</xdr:rowOff>
    </xdr:to>
    <xdr:sp macro="" textlink="">
      <xdr:nvSpPr>
        <xdr:cNvPr id="9" name="TextBox 8">
          <a:hlinkClick xmlns:r="http://schemas.openxmlformats.org/officeDocument/2006/relationships" r:id="rId6"/>
          <a:extLst>
            <a:ext uri="{FF2B5EF4-FFF2-40B4-BE49-F238E27FC236}">
              <a16:creationId xmlns:a16="http://schemas.microsoft.com/office/drawing/2014/main" id="{00000000-0008-0000-0200-000009000000}"/>
            </a:ext>
          </a:extLst>
        </xdr:cNvPr>
        <xdr:cNvSpPr txBox="1"/>
      </xdr:nvSpPr>
      <xdr:spPr>
        <a:xfrm>
          <a:off x="3657600" y="4178300"/>
          <a:ext cx="409575" cy="127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800" b="0" i="0" u="sng" strike="noStrike">
              <a:solidFill>
                <a:srgbClr val="0000FF"/>
              </a:solidFill>
              <a:latin typeface="Calibri"/>
            </a:rPr>
            <a:t>Definition</a:t>
          </a:r>
        </a:p>
      </xdr:txBody>
    </xdr:sp>
    <xdr:clientData/>
  </xdr:twoCellAnchor>
  <xdr:twoCellAnchor>
    <xdr:from>
      <xdr:col>3</xdr:col>
      <xdr:colOff>247650</xdr:colOff>
      <xdr:row>30</xdr:row>
      <xdr:rowOff>173265</xdr:rowOff>
    </xdr:from>
    <xdr:to>
      <xdr:col>3</xdr:col>
      <xdr:colOff>657225</xdr:colOff>
      <xdr:row>31</xdr:row>
      <xdr:rowOff>109765</xdr:rowOff>
    </xdr:to>
    <xdr:sp macro="" textlink="">
      <xdr:nvSpPr>
        <xdr:cNvPr id="10" name="TextBox 9">
          <a:hlinkClick xmlns:r="http://schemas.openxmlformats.org/officeDocument/2006/relationships" r:id="rId7"/>
          <a:extLst>
            <a:ext uri="{FF2B5EF4-FFF2-40B4-BE49-F238E27FC236}">
              <a16:creationId xmlns:a16="http://schemas.microsoft.com/office/drawing/2014/main" id="{00000000-0008-0000-0200-00000A000000}"/>
            </a:ext>
          </a:extLst>
        </xdr:cNvPr>
        <xdr:cNvSpPr txBox="1"/>
      </xdr:nvSpPr>
      <xdr:spPr>
        <a:xfrm>
          <a:off x="3649436" y="4779283"/>
          <a:ext cx="409575" cy="127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800" b="0" i="0" u="sng" strike="noStrike">
              <a:solidFill>
                <a:srgbClr val="0000FF"/>
              </a:solidFill>
              <a:latin typeface="Calibri"/>
            </a:rPr>
            <a:t>Definition</a:t>
          </a:r>
        </a:p>
      </xdr:txBody>
    </xdr:sp>
    <xdr:clientData/>
  </xdr:twoCellAnchor>
  <xdr:twoCellAnchor>
    <xdr:from>
      <xdr:col>3</xdr:col>
      <xdr:colOff>247650</xdr:colOff>
      <xdr:row>32</xdr:row>
      <xdr:rowOff>165100</xdr:rowOff>
    </xdr:from>
    <xdr:to>
      <xdr:col>3</xdr:col>
      <xdr:colOff>657225</xdr:colOff>
      <xdr:row>34</xdr:row>
      <xdr:rowOff>12700</xdr:rowOff>
    </xdr:to>
    <xdr:sp macro="" textlink="">
      <xdr:nvSpPr>
        <xdr:cNvPr id="11" name="TextBox 10">
          <a:hlinkClick xmlns:r="http://schemas.openxmlformats.org/officeDocument/2006/relationships" r:id="rId8"/>
          <a:extLst>
            <a:ext uri="{FF2B5EF4-FFF2-40B4-BE49-F238E27FC236}">
              <a16:creationId xmlns:a16="http://schemas.microsoft.com/office/drawing/2014/main" id="{00000000-0008-0000-0200-00000B000000}"/>
            </a:ext>
          </a:extLst>
        </xdr:cNvPr>
        <xdr:cNvSpPr txBox="1"/>
      </xdr:nvSpPr>
      <xdr:spPr>
        <a:xfrm>
          <a:off x="3657600" y="4737100"/>
          <a:ext cx="409575" cy="127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800" b="0" i="0" u="sng" strike="noStrike">
              <a:solidFill>
                <a:srgbClr val="0000FF"/>
              </a:solidFill>
              <a:latin typeface="Calibri"/>
            </a:rPr>
            <a:t>Definition</a:t>
          </a:r>
        </a:p>
      </xdr:txBody>
    </xdr:sp>
    <xdr:clientData/>
  </xdr:twoCellAnchor>
  <xdr:twoCellAnchor>
    <xdr:from>
      <xdr:col>3</xdr:col>
      <xdr:colOff>247650</xdr:colOff>
      <xdr:row>34</xdr:row>
      <xdr:rowOff>152400</xdr:rowOff>
    </xdr:from>
    <xdr:to>
      <xdr:col>3</xdr:col>
      <xdr:colOff>657225</xdr:colOff>
      <xdr:row>36</xdr:row>
      <xdr:rowOff>0</xdr:rowOff>
    </xdr:to>
    <xdr:sp macro="" textlink="">
      <xdr:nvSpPr>
        <xdr:cNvPr id="12" name="TextBox 11">
          <a:hlinkClick xmlns:r="http://schemas.openxmlformats.org/officeDocument/2006/relationships" r:id="rId9"/>
          <a:extLst>
            <a:ext uri="{FF2B5EF4-FFF2-40B4-BE49-F238E27FC236}">
              <a16:creationId xmlns:a16="http://schemas.microsoft.com/office/drawing/2014/main" id="{00000000-0008-0000-0200-00000C000000}"/>
            </a:ext>
          </a:extLst>
        </xdr:cNvPr>
        <xdr:cNvSpPr txBox="1"/>
      </xdr:nvSpPr>
      <xdr:spPr>
        <a:xfrm>
          <a:off x="3657600" y="5003800"/>
          <a:ext cx="409575" cy="127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800" b="0" i="0" u="sng" strike="noStrike">
              <a:solidFill>
                <a:srgbClr val="0000FF"/>
              </a:solidFill>
              <a:latin typeface="Calibri"/>
            </a:rPr>
            <a:t>Definition</a:t>
          </a:r>
        </a:p>
      </xdr:txBody>
    </xdr:sp>
    <xdr:clientData/>
  </xdr:twoCellAnchor>
  <xdr:twoCellAnchor>
    <xdr:from>
      <xdr:col>3</xdr:col>
      <xdr:colOff>254000</xdr:colOff>
      <xdr:row>36</xdr:row>
      <xdr:rowOff>158750</xdr:rowOff>
    </xdr:from>
    <xdr:to>
      <xdr:col>3</xdr:col>
      <xdr:colOff>663575</xdr:colOff>
      <xdr:row>37</xdr:row>
      <xdr:rowOff>95250</xdr:rowOff>
    </xdr:to>
    <xdr:sp macro="" textlink="">
      <xdr:nvSpPr>
        <xdr:cNvPr id="13" name="TextBox 12">
          <a:hlinkClick xmlns:r="http://schemas.openxmlformats.org/officeDocument/2006/relationships" r:id="rId10"/>
          <a:extLst>
            <a:ext uri="{FF2B5EF4-FFF2-40B4-BE49-F238E27FC236}">
              <a16:creationId xmlns:a16="http://schemas.microsoft.com/office/drawing/2014/main" id="{00000000-0008-0000-0200-00000D000000}"/>
            </a:ext>
          </a:extLst>
        </xdr:cNvPr>
        <xdr:cNvSpPr txBox="1"/>
      </xdr:nvSpPr>
      <xdr:spPr>
        <a:xfrm>
          <a:off x="3905250" y="5651500"/>
          <a:ext cx="409575" cy="127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800" b="0" i="0" u="sng" strike="noStrike">
              <a:solidFill>
                <a:srgbClr val="0000FF"/>
              </a:solidFill>
              <a:latin typeface="Calibri"/>
            </a:rPr>
            <a:t>Definition</a:t>
          </a:r>
        </a:p>
      </xdr:txBody>
    </xdr:sp>
    <xdr:clientData/>
  </xdr:twoCellAnchor>
  <xdr:twoCellAnchor>
    <xdr:from>
      <xdr:col>3</xdr:col>
      <xdr:colOff>254000</xdr:colOff>
      <xdr:row>38</xdr:row>
      <xdr:rowOff>158750</xdr:rowOff>
    </xdr:from>
    <xdr:to>
      <xdr:col>3</xdr:col>
      <xdr:colOff>663575</xdr:colOff>
      <xdr:row>39</xdr:row>
      <xdr:rowOff>105833</xdr:rowOff>
    </xdr:to>
    <xdr:sp macro="" textlink="">
      <xdr:nvSpPr>
        <xdr:cNvPr id="14" name="TextBox 13">
          <a:hlinkClick xmlns:r="http://schemas.openxmlformats.org/officeDocument/2006/relationships" r:id="rId11"/>
          <a:extLst>
            <a:ext uri="{FF2B5EF4-FFF2-40B4-BE49-F238E27FC236}">
              <a16:creationId xmlns:a16="http://schemas.microsoft.com/office/drawing/2014/main" id="{00000000-0008-0000-0200-00000E000000}"/>
            </a:ext>
          </a:extLst>
        </xdr:cNvPr>
        <xdr:cNvSpPr txBox="1"/>
      </xdr:nvSpPr>
      <xdr:spPr>
        <a:xfrm>
          <a:off x="3905250" y="6032500"/>
          <a:ext cx="409575" cy="1375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800" b="0" i="0" u="sng" strike="noStrike">
              <a:solidFill>
                <a:srgbClr val="0000FF"/>
              </a:solidFill>
              <a:latin typeface="Calibri"/>
            </a:rPr>
            <a:t>Definition</a:t>
          </a:r>
        </a:p>
      </xdr:txBody>
    </xdr:sp>
    <xdr:clientData/>
  </xdr:twoCellAnchor>
  <xdr:twoCellAnchor>
    <xdr:from>
      <xdr:col>7</xdr:col>
      <xdr:colOff>10584</xdr:colOff>
      <xdr:row>13</xdr:row>
      <xdr:rowOff>21167</xdr:rowOff>
    </xdr:from>
    <xdr:to>
      <xdr:col>27</xdr:col>
      <xdr:colOff>59652</xdr:colOff>
      <xdr:row>13</xdr:row>
      <xdr:rowOff>148167</xdr:rowOff>
    </xdr:to>
    <xdr:sp macro="" textlink="">
      <xdr:nvSpPr>
        <xdr:cNvPr id="15" name="TextBox 14">
          <a:hlinkClick xmlns:r="http://schemas.openxmlformats.org/officeDocument/2006/relationships" r:id="rId12"/>
          <a:extLst>
            <a:ext uri="{FF2B5EF4-FFF2-40B4-BE49-F238E27FC236}">
              <a16:creationId xmlns:a16="http://schemas.microsoft.com/office/drawing/2014/main" id="{00000000-0008-0000-0200-00000F000000}"/>
            </a:ext>
          </a:extLst>
        </xdr:cNvPr>
        <xdr:cNvSpPr txBox="1"/>
      </xdr:nvSpPr>
      <xdr:spPr>
        <a:xfrm>
          <a:off x="6000751" y="2243667"/>
          <a:ext cx="3456901" cy="127000"/>
        </a:xfrm>
        <a:prstGeom prst="rect">
          <a:avLst/>
        </a:prstGeom>
        <a:solidFill>
          <a:sysClr val="window" lastClr="FFFFFF"/>
        </a:solidFill>
        <a:ln w="9525" cmpd="sng">
          <a:noFill/>
        </a:ln>
        <a:effectLst/>
      </xdr:spPr>
      <xdr:txBody>
        <a:bodyPr vertOverflow="clip" horzOverflow="clip" wrap="square"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0" i="0" u="sng" strike="noStrike" kern="0" cap="none" spc="0" normalizeH="0" baseline="0" noProof="0">
              <a:ln>
                <a:noFill/>
              </a:ln>
              <a:solidFill>
                <a:srgbClr val="0000FF"/>
              </a:solidFill>
              <a:effectLst/>
              <a:uLnTx/>
              <a:uFillTx/>
              <a:latin typeface="Calibri"/>
              <a:ea typeface="+mn-ea"/>
              <a:cs typeface="+mn-cs"/>
            </a:rPr>
            <a:t>http://safetydata.fra.dot.gov/officeofsafety/publicsite/crossing/xingqryloc.aspx</a:t>
          </a:r>
        </a:p>
      </xdr:txBody>
    </xdr:sp>
    <xdr:clientData/>
  </xdr:twoCellAnchor>
  <xdr:twoCellAnchor editAs="oneCell">
    <xdr:from>
      <xdr:col>0</xdr:col>
      <xdr:colOff>42345</xdr:colOff>
      <xdr:row>0</xdr:row>
      <xdr:rowOff>42338</xdr:rowOff>
    </xdr:from>
    <xdr:to>
      <xdr:col>1</xdr:col>
      <xdr:colOff>207106</xdr:colOff>
      <xdr:row>0</xdr:row>
      <xdr:rowOff>485851</xdr:rowOff>
    </xdr:to>
    <xdr:pic>
      <xdr:nvPicPr>
        <xdr:cNvPr id="17" name="Picture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2345" y="42338"/>
          <a:ext cx="1707811" cy="44351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42345</xdr:colOff>
      <xdr:row>0</xdr:row>
      <xdr:rowOff>42338</xdr:rowOff>
    </xdr:from>
    <xdr:ext cx="1707811" cy="443513"/>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345" y="29988938"/>
          <a:ext cx="1707811" cy="443513"/>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42345</xdr:colOff>
      <xdr:row>0</xdr:row>
      <xdr:rowOff>42338</xdr:rowOff>
    </xdr:from>
    <xdr:ext cx="1707811" cy="443513"/>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345" y="29988938"/>
          <a:ext cx="1707811" cy="443513"/>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xdr:from>
      <xdr:col>3</xdr:col>
      <xdr:colOff>241300</xdr:colOff>
      <xdr:row>18</xdr:row>
      <xdr:rowOff>173567</xdr:rowOff>
    </xdr:from>
    <xdr:to>
      <xdr:col>4</xdr:col>
      <xdr:colOff>4234</xdr:colOff>
      <xdr:row>20</xdr:row>
      <xdr:rowOff>21167</xdr:rowOff>
    </xdr:to>
    <xdr:sp macro="" textlink="">
      <xdr:nvSpPr>
        <xdr:cNvPr id="4" name="TextBox 3">
          <a:hlinkClick xmlns:r="http://schemas.openxmlformats.org/officeDocument/2006/relationships" r:id="rId1"/>
          <a:extLst>
            <a:ext uri="{FF2B5EF4-FFF2-40B4-BE49-F238E27FC236}">
              <a16:creationId xmlns:a16="http://schemas.microsoft.com/office/drawing/2014/main" id="{00000000-0008-0000-0500-000004000000}"/>
            </a:ext>
          </a:extLst>
        </xdr:cNvPr>
        <xdr:cNvSpPr txBox="1"/>
      </xdr:nvSpPr>
      <xdr:spPr>
        <a:xfrm>
          <a:off x="3651250" y="2910417"/>
          <a:ext cx="429684" cy="1651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800" b="0" i="0" u="sng" strike="noStrike">
              <a:solidFill>
                <a:srgbClr val="0000FF"/>
              </a:solidFill>
              <a:latin typeface="Calibri"/>
            </a:rPr>
            <a:t>Definition</a:t>
          </a:r>
        </a:p>
      </xdr:txBody>
    </xdr:sp>
    <xdr:clientData/>
  </xdr:twoCellAnchor>
  <xdr:twoCellAnchor>
    <xdr:from>
      <xdr:col>3</xdr:col>
      <xdr:colOff>241300</xdr:colOff>
      <xdr:row>20</xdr:row>
      <xdr:rowOff>167217</xdr:rowOff>
    </xdr:from>
    <xdr:to>
      <xdr:col>3</xdr:col>
      <xdr:colOff>665693</xdr:colOff>
      <xdr:row>22</xdr:row>
      <xdr:rowOff>14817</xdr:rowOff>
    </xdr:to>
    <xdr:sp macro="" textlink="">
      <xdr:nvSpPr>
        <xdr:cNvPr id="5" name="TextBox 4">
          <a:hlinkClick xmlns:r="http://schemas.openxmlformats.org/officeDocument/2006/relationships" r:id="rId2"/>
          <a:extLst>
            <a:ext uri="{FF2B5EF4-FFF2-40B4-BE49-F238E27FC236}">
              <a16:creationId xmlns:a16="http://schemas.microsoft.com/office/drawing/2014/main" id="{00000000-0008-0000-0500-000005000000}"/>
            </a:ext>
          </a:extLst>
        </xdr:cNvPr>
        <xdr:cNvSpPr txBox="1"/>
      </xdr:nvSpPr>
      <xdr:spPr>
        <a:xfrm>
          <a:off x="3651250" y="3221567"/>
          <a:ext cx="424393" cy="1651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800" b="0" i="0" u="sng" strike="noStrike">
              <a:solidFill>
                <a:srgbClr val="0000FF"/>
              </a:solidFill>
              <a:latin typeface="Calibri"/>
            </a:rPr>
            <a:t>Definition</a:t>
          </a:r>
        </a:p>
      </xdr:txBody>
    </xdr:sp>
    <xdr:clientData/>
  </xdr:twoCellAnchor>
  <xdr:twoCellAnchor>
    <xdr:from>
      <xdr:col>3</xdr:col>
      <xdr:colOff>247650</xdr:colOff>
      <xdr:row>22</xdr:row>
      <xdr:rowOff>171451</xdr:rowOff>
    </xdr:from>
    <xdr:to>
      <xdr:col>4</xdr:col>
      <xdr:colOff>3177</xdr:colOff>
      <xdr:row>24</xdr:row>
      <xdr:rowOff>19051</xdr:rowOff>
    </xdr:to>
    <xdr:sp macro="" textlink="">
      <xdr:nvSpPr>
        <xdr:cNvPr id="6" name="TextBox 5">
          <a:hlinkClick xmlns:r="http://schemas.openxmlformats.org/officeDocument/2006/relationships" r:id="rId3"/>
          <a:extLst>
            <a:ext uri="{FF2B5EF4-FFF2-40B4-BE49-F238E27FC236}">
              <a16:creationId xmlns:a16="http://schemas.microsoft.com/office/drawing/2014/main" id="{00000000-0008-0000-0500-000006000000}"/>
            </a:ext>
          </a:extLst>
        </xdr:cNvPr>
        <xdr:cNvSpPr txBox="1"/>
      </xdr:nvSpPr>
      <xdr:spPr>
        <a:xfrm>
          <a:off x="3657600" y="3543301"/>
          <a:ext cx="422277" cy="1651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800" b="0" i="0" u="sng" strike="noStrike">
              <a:solidFill>
                <a:srgbClr val="0000FF"/>
              </a:solidFill>
              <a:latin typeface="Calibri"/>
            </a:rPr>
            <a:t>Definition</a:t>
          </a:r>
        </a:p>
      </xdr:txBody>
    </xdr:sp>
    <xdr:clientData/>
  </xdr:twoCellAnchor>
  <xdr:twoCellAnchor>
    <xdr:from>
      <xdr:col>3</xdr:col>
      <xdr:colOff>273957</xdr:colOff>
      <xdr:row>24</xdr:row>
      <xdr:rowOff>154518</xdr:rowOff>
    </xdr:from>
    <xdr:to>
      <xdr:col>3</xdr:col>
      <xdr:colOff>696234</xdr:colOff>
      <xdr:row>25</xdr:row>
      <xdr:rowOff>129118</xdr:rowOff>
    </xdr:to>
    <xdr:sp macro="" textlink="">
      <xdr:nvSpPr>
        <xdr:cNvPr id="7" name="TextBox 6">
          <a:hlinkClick xmlns:r="http://schemas.openxmlformats.org/officeDocument/2006/relationships" r:id="rId4"/>
          <a:extLst>
            <a:ext uri="{FF2B5EF4-FFF2-40B4-BE49-F238E27FC236}">
              <a16:creationId xmlns:a16="http://schemas.microsoft.com/office/drawing/2014/main" id="{00000000-0008-0000-0500-000007000000}"/>
            </a:ext>
          </a:extLst>
        </xdr:cNvPr>
        <xdr:cNvSpPr txBox="1"/>
      </xdr:nvSpPr>
      <xdr:spPr>
        <a:xfrm>
          <a:off x="3915228" y="4106032"/>
          <a:ext cx="422277" cy="1651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800" b="0" i="0" u="sng" strike="noStrike">
              <a:solidFill>
                <a:srgbClr val="0000FF"/>
              </a:solidFill>
              <a:latin typeface="Calibri"/>
            </a:rPr>
            <a:t>Definition</a:t>
          </a:r>
        </a:p>
      </xdr:txBody>
    </xdr:sp>
    <xdr:clientData/>
  </xdr:twoCellAnchor>
  <xdr:twoCellAnchor>
    <xdr:from>
      <xdr:col>7</xdr:col>
      <xdr:colOff>30787</xdr:colOff>
      <xdr:row>13</xdr:row>
      <xdr:rowOff>21166</xdr:rowOff>
    </xdr:from>
    <xdr:to>
      <xdr:col>27</xdr:col>
      <xdr:colOff>71196</xdr:colOff>
      <xdr:row>13</xdr:row>
      <xdr:rowOff>148166</xdr:rowOff>
    </xdr:to>
    <xdr:sp macro="" textlink="">
      <xdr:nvSpPr>
        <xdr:cNvPr id="8" name="TextBox 7">
          <a:hlinkClick xmlns:r="http://schemas.openxmlformats.org/officeDocument/2006/relationships" r:id="rId5"/>
          <a:extLst>
            <a:ext uri="{FF2B5EF4-FFF2-40B4-BE49-F238E27FC236}">
              <a16:creationId xmlns:a16="http://schemas.microsoft.com/office/drawing/2014/main" id="{00000000-0008-0000-0500-000008000000}"/>
            </a:ext>
          </a:extLst>
        </xdr:cNvPr>
        <xdr:cNvSpPr txBox="1"/>
      </xdr:nvSpPr>
      <xdr:spPr>
        <a:xfrm>
          <a:off x="5624560" y="2255211"/>
          <a:ext cx="3365500" cy="127000"/>
        </a:xfrm>
        <a:prstGeom prst="rect">
          <a:avLst/>
        </a:prstGeom>
        <a:solidFill>
          <a:sysClr val="window" lastClr="FFFFFF"/>
        </a:solidFill>
        <a:ln w="9525" cmpd="sng">
          <a:noFill/>
        </a:ln>
        <a:effectLst/>
      </xdr:spPr>
      <xdr:txBody>
        <a:bodyPr vertOverflow="clip" horzOverflow="clip" wrap="square"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0" i="0" u="sng" strike="noStrike" kern="0" cap="none" spc="0" normalizeH="0" baseline="0" noProof="0">
              <a:ln>
                <a:noFill/>
              </a:ln>
              <a:solidFill>
                <a:srgbClr val="0000FF"/>
              </a:solidFill>
              <a:effectLst/>
              <a:uLnTx/>
              <a:uFillTx/>
              <a:latin typeface="Calibri"/>
              <a:ea typeface="+mn-ea"/>
              <a:cs typeface="+mn-cs"/>
            </a:rPr>
            <a:t>http://safetydata.fra.dot.gov/officeofsafety/publicsite/crossing/xingqryloc.aspx</a:t>
          </a:r>
        </a:p>
      </xdr:txBody>
    </xdr:sp>
    <xdr:clientData/>
  </xdr:twoCellAnchor>
  <xdr:twoCellAnchor editAs="oneCell">
    <xdr:from>
      <xdr:col>0</xdr:col>
      <xdr:colOff>42345</xdr:colOff>
      <xdr:row>0</xdr:row>
      <xdr:rowOff>42338</xdr:rowOff>
    </xdr:from>
    <xdr:to>
      <xdr:col>1</xdr:col>
      <xdr:colOff>207106</xdr:colOff>
      <xdr:row>0</xdr:row>
      <xdr:rowOff>485851</xdr:rowOff>
    </xdr:to>
    <xdr:pic>
      <xdr:nvPicPr>
        <xdr:cNvPr id="10" name="Picture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2345" y="42338"/>
          <a:ext cx="1707811" cy="44351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3</xdr:col>
      <xdr:colOff>271463</xdr:colOff>
      <xdr:row>19</xdr:row>
      <xdr:rowOff>185737</xdr:rowOff>
    </xdr:from>
    <xdr:to>
      <xdr:col>3</xdr:col>
      <xdr:colOff>681038</xdr:colOff>
      <xdr:row>21</xdr:row>
      <xdr:rowOff>36513</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600-000002000000}"/>
            </a:ext>
          </a:extLst>
        </xdr:cNvPr>
        <xdr:cNvSpPr txBox="1"/>
      </xdr:nvSpPr>
      <xdr:spPr>
        <a:xfrm>
          <a:off x="3914776" y="3364706"/>
          <a:ext cx="409575" cy="1603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800" b="0" i="0" u="sng" strike="noStrike">
              <a:solidFill>
                <a:srgbClr val="0000FF"/>
              </a:solidFill>
              <a:latin typeface="Calibri"/>
            </a:rPr>
            <a:t>Definition</a:t>
          </a:r>
        </a:p>
      </xdr:txBody>
    </xdr:sp>
    <xdr:clientData/>
  </xdr:twoCellAnchor>
  <xdr:twoCellAnchor editAs="oneCell">
    <xdr:from>
      <xdr:col>0</xdr:col>
      <xdr:colOff>42345</xdr:colOff>
      <xdr:row>0</xdr:row>
      <xdr:rowOff>42338</xdr:rowOff>
    </xdr:from>
    <xdr:to>
      <xdr:col>1</xdr:col>
      <xdr:colOff>207106</xdr:colOff>
      <xdr:row>0</xdr:row>
      <xdr:rowOff>482676</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2345" y="42338"/>
          <a:ext cx="1707811" cy="443513"/>
        </a:xfrm>
        <a:prstGeom prst="rect">
          <a:avLst/>
        </a:prstGeom>
      </xdr:spPr>
    </xdr:pic>
    <xdr:clientData/>
  </xdr:twoCellAnchor>
  <xdr:twoCellAnchor>
    <xdr:from>
      <xdr:col>7</xdr:col>
      <xdr:colOff>31750</xdr:colOff>
      <xdr:row>13</xdr:row>
      <xdr:rowOff>10583</xdr:rowOff>
    </xdr:from>
    <xdr:to>
      <xdr:col>27</xdr:col>
      <xdr:colOff>80818</xdr:colOff>
      <xdr:row>13</xdr:row>
      <xdr:rowOff>137583</xdr:rowOff>
    </xdr:to>
    <xdr:sp macro="" textlink="">
      <xdr:nvSpPr>
        <xdr:cNvPr id="6" name="TextBox 5">
          <a:hlinkClick xmlns:r="http://schemas.openxmlformats.org/officeDocument/2006/relationships" r:id="rId3"/>
          <a:extLst>
            <a:ext uri="{FF2B5EF4-FFF2-40B4-BE49-F238E27FC236}">
              <a16:creationId xmlns:a16="http://schemas.microsoft.com/office/drawing/2014/main" id="{00000000-0008-0000-0600-000006000000}"/>
            </a:ext>
          </a:extLst>
        </xdr:cNvPr>
        <xdr:cNvSpPr txBox="1"/>
      </xdr:nvSpPr>
      <xdr:spPr>
        <a:xfrm>
          <a:off x="6013450" y="2239433"/>
          <a:ext cx="3516168" cy="127000"/>
        </a:xfrm>
        <a:prstGeom prst="rect">
          <a:avLst/>
        </a:prstGeom>
        <a:solidFill>
          <a:sysClr val="window" lastClr="FFFFFF"/>
        </a:solidFill>
        <a:ln w="9525" cmpd="sng">
          <a:noFill/>
        </a:ln>
        <a:effectLst/>
      </xdr:spPr>
      <xdr:txBody>
        <a:bodyPr vertOverflow="clip" horzOverflow="clip" wrap="square"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0" i="0" u="sng" strike="noStrike" kern="0" cap="none" spc="0" normalizeH="0" baseline="0" noProof="0">
              <a:ln>
                <a:noFill/>
              </a:ln>
              <a:solidFill>
                <a:srgbClr val="0000FF"/>
              </a:solidFill>
              <a:effectLst/>
              <a:uLnTx/>
              <a:uFillTx/>
              <a:latin typeface="Calibri"/>
              <a:ea typeface="+mn-ea"/>
              <a:cs typeface="+mn-cs"/>
            </a:rPr>
            <a:t>http://safetydata.fra.dot.gov/officeofsafety/publicsite/crossing/xingqryloc.aspx</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341169</xdr:colOff>
      <xdr:row>53</xdr:row>
      <xdr:rowOff>9525</xdr:rowOff>
    </xdr:from>
    <xdr:to>
      <xdr:col>3</xdr:col>
      <xdr:colOff>2322384</xdr:colOff>
      <xdr:row>78</xdr:row>
      <xdr:rowOff>109970</xdr:rowOff>
    </xdr:to>
    <xdr:pic>
      <xdr:nvPicPr>
        <xdr:cNvPr id="2" name="Picture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169" y="25707975"/>
          <a:ext cx="3981465" cy="50534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2996045</xdr:colOff>
      <xdr:row>53</xdr:row>
      <xdr:rowOff>95251</xdr:rowOff>
    </xdr:from>
    <xdr:to>
      <xdr:col>3</xdr:col>
      <xdr:colOff>6090804</xdr:colOff>
      <xdr:row>64</xdr:row>
      <xdr:rowOff>114301</xdr:rowOff>
    </xdr:to>
    <xdr:pic>
      <xdr:nvPicPr>
        <xdr:cNvPr id="3" name="Picture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96295" y="25793701"/>
          <a:ext cx="3094759" cy="21145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2529319</xdr:colOff>
      <xdr:row>66</xdr:row>
      <xdr:rowOff>42430</xdr:rowOff>
    </xdr:from>
    <xdr:to>
      <xdr:col>3</xdr:col>
      <xdr:colOff>6506633</xdr:colOff>
      <xdr:row>78</xdr:row>
      <xdr:rowOff>42430</xdr:rowOff>
    </xdr:to>
    <xdr:pic>
      <xdr:nvPicPr>
        <xdr:cNvPr id="4" name="Picture 1">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29569" y="28407880"/>
          <a:ext cx="3977314"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199159</xdr:colOff>
      <xdr:row>83</xdr:row>
      <xdr:rowOff>47627</xdr:rowOff>
    </xdr:from>
    <xdr:to>
      <xdr:col>3</xdr:col>
      <xdr:colOff>5448515</xdr:colOff>
      <xdr:row>97</xdr:row>
      <xdr:rowOff>1</xdr:rowOff>
    </xdr:to>
    <xdr:pic>
      <xdr:nvPicPr>
        <xdr:cNvPr id="5" name="Picture 1">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37384" y="33118427"/>
          <a:ext cx="6211381" cy="2619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147205</xdr:colOff>
      <xdr:row>222</xdr:row>
      <xdr:rowOff>51957</xdr:rowOff>
    </xdr:from>
    <xdr:to>
      <xdr:col>3</xdr:col>
      <xdr:colOff>4208800</xdr:colOff>
      <xdr:row>228</xdr:row>
      <xdr:rowOff>363683</xdr:rowOff>
    </xdr:to>
    <xdr:pic>
      <xdr:nvPicPr>
        <xdr:cNvPr id="126" name="Picture 1">
          <a:extLst>
            <a:ext uri="{FF2B5EF4-FFF2-40B4-BE49-F238E27FC236}">
              <a16:creationId xmlns:a16="http://schemas.microsoft.com/office/drawing/2014/main" id="{00000000-0008-0000-0700-00007E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814080" y="73003932"/>
          <a:ext cx="4061595" cy="28834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229843</xdr:colOff>
      <xdr:row>162</xdr:row>
      <xdr:rowOff>91110</xdr:rowOff>
    </xdr:from>
    <xdr:to>
      <xdr:col>3</xdr:col>
      <xdr:colOff>1476752</xdr:colOff>
      <xdr:row>168</xdr:row>
      <xdr:rowOff>8560</xdr:rowOff>
    </xdr:to>
    <xdr:grpSp>
      <xdr:nvGrpSpPr>
        <xdr:cNvPr id="127" name="Group 75">
          <a:extLst>
            <a:ext uri="{FF2B5EF4-FFF2-40B4-BE49-F238E27FC236}">
              <a16:creationId xmlns:a16="http://schemas.microsoft.com/office/drawing/2014/main" id="{00000000-0008-0000-0700-00007F000000}"/>
            </a:ext>
          </a:extLst>
        </xdr:cNvPr>
        <xdr:cNvGrpSpPr>
          <a:grpSpLocks/>
        </xdr:cNvGrpSpPr>
      </xdr:nvGrpSpPr>
      <xdr:grpSpPr bwMode="auto">
        <a:xfrm rot="5400000">
          <a:off x="2237597" y="75858791"/>
          <a:ext cx="1001395" cy="1245004"/>
          <a:chOff x="2185" y="-2185"/>
          <a:chExt cx="37411" cy="44563"/>
        </a:xfrm>
      </xdr:grpSpPr>
      <xdr:grpSp>
        <xdr:nvGrpSpPr>
          <xdr:cNvPr id="128" name="Group 2">
            <a:extLst>
              <a:ext uri="{FF2B5EF4-FFF2-40B4-BE49-F238E27FC236}">
                <a16:creationId xmlns:a16="http://schemas.microsoft.com/office/drawing/2014/main" id="{00000000-0008-0000-0700-000080000000}"/>
              </a:ext>
            </a:extLst>
          </xdr:cNvPr>
          <xdr:cNvGrpSpPr>
            <a:grpSpLocks/>
          </xdr:cNvGrpSpPr>
        </xdr:nvGrpSpPr>
        <xdr:grpSpPr bwMode="auto">
          <a:xfrm>
            <a:off x="2185" y="-2185"/>
            <a:ext cx="37411" cy="44563"/>
            <a:chOff x="2185" y="-2185"/>
            <a:chExt cx="37411" cy="44563"/>
          </a:xfrm>
        </xdr:grpSpPr>
        <xdr:grpSp>
          <xdr:nvGrpSpPr>
            <xdr:cNvPr id="130" name="Group 4">
              <a:extLst>
                <a:ext uri="{FF2B5EF4-FFF2-40B4-BE49-F238E27FC236}">
                  <a16:creationId xmlns:a16="http://schemas.microsoft.com/office/drawing/2014/main" id="{00000000-0008-0000-0700-000082000000}"/>
                </a:ext>
              </a:extLst>
            </xdr:cNvPr>
            <xdr:cNvGrpSpPr>
              <a:grpSpLocks/>
            </xdr:cNvGrpSpPr>
          </xdr:nvGrpSpPr>
          <xdr:grpSpPr bwMode="auto">
            <a:xfrm>
              <a:off x="2185" y="-2185"/>
              <a:ext cx="37411" cy="44563"/>
              <a:chOff x="2185" y="-2185"/>
              <a:chExt cx="37411" cy="44563"/>
            </a:xfrm>
          </xdr:grpSpPr>
          <xdr:sp macro="" textlink="">
            <xdr:nvSpPr>
              <xdr:cNvPr id="149" name="Rectangle 23">
                <a:extLst>
                  <a:ext uri="{FF2B5EF4-FFF2-40B4-BE49-F238E27FC236}">
                    <a16:creationId xmlns:a16="http://schemas.microsoft.com/office/drawing/2014/main" id="{00000000-0008-0000-0700-000095000000}"/>
                  </a:ext>
                </a:extLst>
              </xdr:cNvPr>
              <xdr:cNvSpPr>
                <a:spLocks noChangeArrowheads="1"/>
              </xdr:cNvSpPr>
            </xdr:nvSpPr>
            <xdr:spPr bwMode="auto">
              <a:xfrm rot="10800000">
                <a:off x="14363" y="16824"/>
                <a:ext cx="13037" cy="13258"/>
              </a:xfrm>
              <a:prstGeom prst="rect">
                <a:avLst/>
              </a:prstGeom>
              <a:solidFill>
                <a:srgbClr val="7F7F7F"/>
              </a:solidFill>
              <a:ln>
                <a:noFill/>
              </a:ln>
              <a:extLst>
                <a:ext uri="{91240B29-F687-4F45-9708-019B960494DF}">
                  <a14:hiddenLine xmlns:a14="http://schemas.microsoft.com/office/drawing/2010/main" w="25400">
                    <a:solidFill>
                      <a:srgbClr val="000000"/>
                    </a:solidFill>
                    <a:miter lim="800000"/>
                    <a:headEnd/>
                    <a:tailEnd/>
                  </a14:hiddenLine>
                </a:ext>
              </a:extLst>
            </xdr:spPr>
          </xdr:sp>
          <xdr:grpSp>
            <xdr:nvGrpSpPr>
              <xdr:cNvPr id="150" name="Group 24">
                <a:extLst>
                  <a:ext uri="{FF2B5EF4-FFF2-40B4-BE49-F238E27FC236}">
                    <a16:creationId xmlns:a16="http://schemas.microsoft.com/office/drawing/2014/main" id="{00000000-0008-0000-0700-000096000000}"/>
                  </a:ext>
                </a:extLst>
              </xdr:cNvPr>
              <xdr:cNvGrpSpPr>
                <a:grpSpLocks/>
              </xdr:cNvGrpSpPr>
            </xdr:nvGrpSpPr>
            <xdr:grpSpPr bwMode="auto">
              <a:xfrm rot="10800000">
                <a:off x="2185" y="-2185"/>
                <a:ext cx="37411" cy="44563"/>
                <a:chOff x="2185" y="-2185"/>
                <a:chExt cx="52079" cy="61999"/>
              </a:xfrm>
            </xdr:grpSpPr>
            <xdr:grpSp>
              <xdr:nvGrpSpPr>
                <xdr:cNvPr id="160" name="Group 34">
                  <a:extLst>
                    <a:ext uri="{FF2B5EF4-FFF2-40B4-BE49-F238E27FC236}">
                      <a16:creationId xmlns:a16="http://schemas.microsoft.com/office/drawing/2014/main" id="{00000000-0008-0000-0700-0000A0000000}"/>
                    </a:ext>
                  </a:extLst>
                </xdr:cNvPr>
                <xdr:cNvGrpSpPr>
                  <a:grpSpLocks/>
                </xdr:cNvGrpSpPr>
              </xdr:nvGrpSpPr>
              <xdr:grpSpPr bwMode="auto">
                <a:xfrm>
                  <a:off x="16736" y="32897"/>
                  <a:ext cx="22860" cy="26916"/>
                  <a:chOff x="16736" y="32897"/>
                  <a:chExt cx="38862" cy="17967"/>
                </a:xfrm>
              </xdr:grpSpPr>
              <xdr:grpSp>
                <xdr:nvGrpSpPr>
                  <xdr:cNvPr id="179" name="Group 53">
                    <a:extLst>
                      <a:ext uri="{FF2B5EF4-FFF2-40B4-BE49-F238E27FC236}">
                        <a16:creationId xmlns:a16="http://schemas.microsoft.com/office/drawing/2014/main" id="{00000000-0008-0000-0700-0000B3000000}"/>
                      </a:ext>
                    </a:extLst>
                  </xdr:cNvPr>
                  <xdr:cNvGrpSpPr>
                    <a:grpSpLocks/>
                  </xdr:cNvGrpSpPr>
                </xdr:nvGrpSpPr>
                <xdr:grpSpPr bwMode="auto">
                  <a:xfrm>
                    <a:off x="16736" y="32897"/>
                    <a:ext cx="38862" cy="17968"/>
                    <a:chOff x="16736" y="32897"/>
                    <a:chExt cx="38862" cy="13236"/>
                  </a:xfrm>
                </xdr:grpSpPr>
                <xdr:sp macro="" textlink="">
                  <xdr:nvSpPr>
                    <xdr:cNvPr id="181" name="Rectangle 55">
                      <a:extLst>
                        <a:ext uri="{FF2B5EF4-FFF2-40B4-BE49-F238E27FC236}">
                          <a16:creationId xmlns:a16="http://schemas.microsoft.com/office/drawing/2014/main" id="{00000000-0008-0000-0700-0000B5000000}"/>
                        </a:ext>
                      </a:extLst>
                    </xdr:cNvPr>
                    <xdr:cNvSpPr>
                      <a:spLocks noChangeArrowheads="1"/>
                    </xdr:cNvSpPr>
                  </xdr:nvSpPr>
                  <xdr:spPr bwMode="auto">
                    <a:xfrm>
                      <a:off x="16736" y="32897"/>
                      <a:ext cx="38862" cy="13237"/>
                    </a:xfrm>
                    <a:prstGeom prst="rect">
                      <a:avLst/>
                    </a:prstGeom>
                    <a:solidFill>
                      <a:srgbClr val="D9D9D9"/>
                    </a:solidFill>
                    <a:ln>
                      <a:noFill/>
                    </a:ln>
                    <a:extLst>
                      <a:ext uri="{91240B29-F687-4F45-9708-019B960494DF}">
                        <a14:hiddenLine xmlns:a14="http://schemas.microsoft.com/office/drawing/2010/main" w="6350">
                          <a:solidFill>
                            <a:srgbClr val="000000"/>
                          </a:solidFill>
                          <a:miter lim="800000"/>
                          <a:headEnd/>
                          <a:tailEnd/>
                        </a14:hiddenLine>
                      </a:ext>
                    </a:extLst>
                  </xdr:spPr>
                </xdr:sp>
                <xdr:sp macro="" textlink="">
                  <xdr:nvSpPr>
                    <xdr:cNvPr id="182" name="Rectangle 56">
                      <a:extLst>
                        <a:ext uri="{FF2B5EF4-FFF2-40B4-BE49-F238E27FC236}">
                          <a16:creationId xmlns:a16="http://schemas.microsoft.com/office/drawing/2014/main" id="{00000000-0008-0000-0700-0000B6000000}"/>
                        </a:ext>
                      </a:extLst>
                    </xdr:cNvPr>
                    <xdr:cNvSpPr>
                      <a:spLocks noChangeArrowheads="1"/>
                    </xdr:cNvSpPr>
                  </xdr:nvSpPr>
                  <xdr:spPr bwMode="auto">
                    <a:xfrm>
                      <a:off x="21015" y="32897"/>
                      <a:ext cx="30439" cy="13237"/>
                    </a:xfrm>
                    <a:prstGeom prst="rect">
                      <a:avLst/>
                    </a:prstGeom>
                    <a:solidFill>
                      <a:srgbClr val="7F7F7F"/>
                    </a:solidFill>
                    <a:ln>
                      <a:noFill/>
                    </a:ln>
                    <a:extLst>
                      <a:ext uri="{91240B29-F687-4F45-9708-019B960494DF}">
                        <a14:hiddenLine xmlns:a14="http://schemas.microsoft.com/office/drawing/2010/main" w="25400">
                          <a:solidFill>
                            <a:srgbClr val="000000"/>
                          </a:solidFill>
                          <a:miter lim="800000"/>
                          <a:headEnd/>
                          <a:tailEnd/>
                        </a14:hiddenLine>
                      </a:ext>
                    </a:extLst>
                  </xdr:spPr>
                </xdr:sp>
                <xdr:sp macro="" textlink="">
                  <xdr:nvSpPr>
                    <xdr:cNvPr id="183" name="Rectangle 57">
                      <a:extLst>
                        <a:ext uri="{FF2B5EF4-FFF2-40B4-BE49-F238E27FC236}">
                          <a16:creationId xmlns:a16="http://schemas.microsoft.com/office/drawing/2014/main" id="{00000000-0008-0000-0700-0000B7000000}"/>
                        </a:ext>
                      </a:extLst>
                    </xdr:cNvPr>
                    <xdr:cNvSpPr>
                      <a:spLocks noChangeArrowheads="1"/>
                    </xdr:cNvSpPr>
                  </xdr:nvSpPr>
                  <xdr:spPr bwMode="auto">
                    <a:xfrm rot="16200000" flipV="1">
                      <a:off x="30538" y="39375"/>
                      <a:ext cx="12456" cy="1062"/>
                    </a:xfrm>
                    <a:prstGeom prst="rect">
                      <a:avLst/>
                    </a:prstGeom>
                    <a:solidFill>
                      <a:srgbClr val="FFCC00"/>
                    </a:solidFill>
                    <a:ln>
                      <a:noFill/>
                    </a:ln>
                    <a:extLst>
                      <a:ext uri="{91240B29-F687-4F45-9708-019B960494DF}">
                        <a14:hiddenLine xmlns:a14="http://schemas.microsoft.com/office/drawing/2010/main" w="25400">
                          <a:solidFill>
                            <a:srgbClr val="000000"/>
                          </a:solidFill>
                          <a:miter lim="800000"/>
                          <a:headEnd/>
                          <a:tailEnd/>
                        </a14:hiddenLine>
                      </a:ext>
                    </a:extLst>
                  </xdr:spPr>
                </xdr:sp>
              </xdr:grpSp>
              <xdr:sp macro="" textlink="">
                <xdr:nvSpPr>
                  <xdr:cNvPr id="180" name="Rectangle 54">
                    <a:extLst>
                      <a:ext uri="{FF2B5EF4-FFF2-40B4-BE49-F238E27FC236}">
                        <a16:creationId xmlns:a16="http://schemas.microsoft.com/office/drawing/2014/main" id="{00000000-0008-0000-0700-0000B4000000}"/>
                      </a:ext>
                    </a:extLst>
                  </xdr:cNvPr>
                  <xdr:cNvSpPr>
                    <a:spLocks noChangeArrowheads="1"/>
                  </xdr:cNvSpPr>
                </xdr:nvSpPr>
                <xdr:spPr bwMode="auto">
                  <a:xfrm rot="-5400000">
                    <a:off x="26852" y="41879"/>
                    <a:ext cx="16908" cy="1063"/>
                  </a:xfrm>
                  <a:prstGeom prst="rect">
                    <a:avLst/>
                  </a:prstGeom>
                  <a:solidFill>
                    <a:srgbClr val="FFCC00"/>
                  </a:solidFill>
                  <a:ln>
                    <a:noFill/>
                  </a:ln>
                  <a:extLst>
                    <a:ext uri="{91240B29-F687-4F45-9708-019B960494DF}">
                      <a14:hiddenLine xmlns:a14="http://schemas.microsoft.com/office/drawing/2010/main" w="25400">
                        <a:solidFill>
                          <a:srgbClr val="000000"/>
                        </a:solidFill>
                        <a:miter lim="800000"/>
                        <a:headEnd/>
                        <a:tailEnd/>
                      </a14:hiddenLine>
                    </a:ext>
                  </a:extLst>
                </xdr:spPr>
              </xdr:sp>
            </xdr:grpSp>
            <xdr:grpSp>
              <xdr:nvGrpSpPr>
                <xdr:cNvPr id="161" name="Group 35">
                  <a:extLst>
                    <a:ext uri="{FF2B5EF4-FFF2-40B4-BE49-F238E27FC236}">
                      <a16:creationId xmlns:a16="http://schemas.microsoft.com/office/drawing/2014/main" id="{00000000-0008-0000-0700-0000A1000000}"/>
                    </a:ext>
                  </a:extLst>
                </xdr:cNvPr>
                <xdr:cNvGrpSpPr>
                  <a:grpSpLocks/>
                </xdr:cNvGrpSpPr>
              </xdr:nvGrpSpPr>
              <xdr:grpSpPr bwMode="auto">
                <a:xfrm rot="5400000">
                  <a:off x="34282" y="15581"/>
                  <a:ext cx="22860" cy="17106"/>
                  <a:chOff x="34282" y="15581"/>
                  <a:chExt cx="38862" cy="11419"/>
                </a:xfrm>
              </xdr:grpSpPr>
              <xdr:grpSp>
                <xdr:nvGrpSpPr>
                  <xdr:cNvPr id="174" name="Group 48">
                    <a:extLst>
                      <a:ext uri="{FF2B5EF4-FFF2-40B4-BE49-F238E27FC236}">
                        <a16:creationId xmlns:a16="http://schemas.microsoft.com/office/drawing/2014/main" id="{00000000-0008-0000-0700-0000AE000000}"/>
                      </a:ext>
                    </a:extLst>
                  </xdr:cNvPr>
                  <xdr:cNvGrpSpPr>
                    <a:grpSpLocks/>
                  </xdr:cNvGrpSpPr>
                </xdr:nvGrpSpPr>
                <xdr:grpSpPr bwMode="auto">
                  <a:xfrm>
                    <a:off x="34282" y="15581"/>
                    <a:ext cx="38862" cy="11419"/>
                    <a:chOff x="34282" y="15581"/>
                    <a:chExt cx="38862" cy="8412"/>
                  </a:xfrm>
                </xdr:grpSpPr>
                <xdr:sp macro="" textlink="">
                  <xdr:nvSpPr>
                    <xdr:cNvPr id="176" name="Rectangle 50">
                      <a:extLst>
                        <a:ext uri="{FF2B5EF4-FFF2-40B4-BE49-F238E27FC236}">
                          <a16:creationId xmlns:a16="http://schemas.microsoft.com/office/drawing/2014/main" id="{00000000-0008-0000-0700-0000B0000000}"/>
                        </a:ext>
                      </a:extLst>
                    </xdr:cNvPr>
                    <xdr:cNvSpPr>
                      <a:spLocks noChangeArrowheads="1"/>
                    </xdr:cNvSpPr>
                  </xdr:nvSpPr>
                  <xdr:spPr bwMode="auto">
                    <a:xfrm>
                      <a:off x="34282" y="15581"/>
                      <a:ext cx="38862" cy="8413"/>
                    </a:xfrm>
                    <a:prstGeom prst="rect">
                      <a:avLst/>
                    </a:prstGeom>
                    <a:solidFill>
                      <a:srgbClr val="D9D9D9"/>
                    </a:solidFill>
                    <a:ln>
                      <a:noFill/>
                    </a:ln>
                    <a:extLst>
                      <a:ext uri="{91240B29-F687-4F45-9708-019B960494DF}">
                        <a14:hiddenLine xmlns:a14="http://schemas.microsoft.com/office/drawing/2010/main" w="6350">
                          <a:solidFill>
                            <a:srgbClr val="000000"/>
                          </a:solidFill>
                          <a:miter lim="800000"/>
                          <a:headEnd/>
                          <a:tailEnd/>
                        </a14:hiddenLine>
                      </a:ext>
                    </a:extLst>
                  </xdr:spPr>
                </xdr:sp>
                <xdr:sp macro="" textlink="">
                  <xdr:nvSpPr>
                    <xdr:cNvPr id="177" name="Rectangle 51">
                      <a:extLst>
                        <a:ext uri="{FF2B5EF4-FFF2-40B4-BE49-F238E27FC236}">
                          <a16:creationId xmlns:a16="http://schemas.microsoft.com/office/drawing/2014/main" id="{00000000-0008-0000-0700-0000B1000000}"/>
                        </a:ext>
                      </a:extLst>
                    </xdr:cNvPr>
                    <xdr:cNvSpPr>
                      <a:spLocks noChangeArrowheads="1"/>
                    </xdr:cNvSpPr>
                  </xdr:nvSpPr>
                  <xdr:spPr bwMode="auto">
                    <a:xfrm>
                      <a:off x="38520" y="15644"/>
                      <a:ext cx="30480" cy="8350"/>
                    </a:xfrm>
                    <a:prstGeom prst="rect">
                      <a:avLst/>
                    </a:prstGeom>
                    <a:solidFill>
                      <a:srgbClr val="7F7F7F"/>
                    </a:solidFill>
                    <a:ln>
                      <a:noFill/>
                    </a:ln>
                    <a:extLst>
                      <a:ext uri="{91240B29-F687-4F45-9708-019B960494DF}">
                        <a14:hiddenLine xmlns:a14="http://schemas.microsoft.com/office/drawing/2010/main" w="25400">
                          <a:solidFill>
                            <a:srgbClr val="000000"/>
                          </a:solidFill>
                          <a:miter lim="800000"/>
                          <a:headEnd/>
                          <a:tailEnd/>
                        </a14:hiddenLine>
                      </a:ext>
                    </a:extLst>
                  </xdr:spPr>
                </xdr:sp>
                <xdr:sp macro="" textlink="">
                  <xdr:nvSpPr>
                    <xdr:cNvPr id="178" name="Rectangle 52">
                      <a:extLst>
                        <a:ext uri="{FF2B5EF4-FFF2-40B4-BE49-F238E27FC236}">
                          <a16:creationId xmlns:a16="http://schemas.microsoft.com/office/drawing/2014/main" id="{00000000-0008-0000-0700-0000B2000000}"/>
                        </a:ext>
                      </a:extLst>
                    </xdr:cNvPr>
                    <xdr:cNvSpPr>
                      <a:spLocks noChangeArrowheads="1"/>
                    </xdr:cNvSpPr>
                  </xdr:nvSpPr>
                  <xdr:spPr bwMode="auto">
                    <a:xfrm rot="-5400000">
                      <a:off x="50861" y="18093"/>
                      <a:ext cx="6004" cy="1082"/>
                    </a:xfrm>
                    <a:prstGeom prst="rect">
                      <a:avLst/>
                    </a:prstGeom>
                    <a:solidFill>
                      <a:srgbClr val="FFCC00"/>
                    </a:solidFill>
                    <a:ln>
                      <a:noFill/>
                    </a:ln>
                    <a:extLst>
                      <a:ext uri="{91240B29-F687-4F45-9708-019B960494DF}">
                        <a14:hiddenLine xmlns:a14="http://schemas.microsoft.com/office/drawing/2010/main" w="25400">
                          <a:solidFill>
                            <a:srgbClr val="000000"/>
                          </a:solidFill>
                          <a:miter lim="800000"/>
                          <a:headEnd/>
                          <a:tailEnd/>
                        </a14:hiddenLine>
                      </a:ext>
                    </a:extLst>
                  </xdr:spPr>
                </xdr:sp>
              </xdr:grpSp>
              <xdr:sp macro="" textlink="">
                <xdr:nvSpPr>
                  <xdr:cNvPr id="175" name="Rectangle 49">
                    <a:extLst>
                      <a:ext uri="{FF2B5EF4-FFF2-40B4-BE49-F238E27FC236}">
                        <a16:creationId xmlns:a16="http://schemas.microsoft.com/office/drawing/2014/main" id="{00000000-0008-0000-0700-0000AF000000}"/>
                      </a:ext>
                    </a:extLst>
                  </xdr:cNvPr>
                  <xdr:cNvSpPr>
                    <a:spLocks noChangeArrowheads="1"/>
                  </xdr:cNvSpPr>
                </xdr:nvSpPr>
                <xdr:spPr bwMode="auto">
                  <a:xfrm rot="-5400000">
                    <a:off x="48234" y="19193"/>
                    <a:ext cx="8133" cy="1081"/>
                  </a:xfrm>
                  <a:prstGeom prst="rect">
                    <a:avLst/>
                  </a:prstGeom>
                  <a:solidFill>
                    <a:srgbClr val="FFCC00"/>
                  </a:solidFill>
                  <a:ln>
                    <a:noFill/>
                  </a:ln>
                  <a:extLst>
                    <a:ext uri="{91240B29-F687-4F45-9708-019B960494DF}">
                      <a14:hiddenLine xmlns:a14="http://schemas.microsoft.com/office/drawing/2010/main" w="25400">
                        <a:solidFill>
                          <a:srgbClr val="000000"/>
                        </a:solidFill>
                        <a:miter lim="800000"/>
                        <a:headEnd/>
                        <a:tailEnd/>
                      </a14:hiddenLine>
                    </a:ext>
                  </a:extLst>
                </xdr:spPr>
              </xdr:sp>
            </xdr:grpSp>
            <xdr:grpSp>
              <xdr:nvGrpSpPr>
                <xdr:cNvPr id="162" name="Group 36">
                  <a:extLst>
                    <a:ext uri="{FF2B5EF4-FFF2-40B4-BE49-F238E27FC236}">
                      <a16:creationId xmlns:a16="http://schemas.microsoft.com/office/drawing/2014/main" id="{00000000-0008-0000-0700-0000A2000000}"/>
                    </a:ext>
                  </a:extLst>
                </xdr:cNvPr>
                <xdr:cNvGrpSpPr>
                  <a:grpSpLocks/>
                </xdr:cNvGrpSpPr>
              </xdr:nvGrpSpPr>
              <xdr:grpSpPr bwMode="auto">
                <a:xfrm rot="5400000">
                  <a:off x="-228" y="14888"/>
                  <a:ext cx="22860" cy="18033"/>
                  <a:chOff x="-228" y="14888"/>
                  <a:chExt cx="38862" cy="12038"/>
                </a:xfrm>
              </xdr:grpSpPr>
              <xdr:grpSp>
                <xdr:nvGrpSpPr>
                  <xdr:cNvPr id="169" name="Group 43">
                    <a:extLst>
                      <a:ext uri="{FF2B5EF4-FFF2-40B4-BE49-F238E27FC236}">
                        <a16:creationId xmlns:a16="http://schemas.microsoft.com/office/drawing/2014/main" id="{00000000-0008-0000-0700-0000A9000000}"/>
                      </a:ext>
                    </a:extLst>
                  </xdr:cNvPr>
                  <xdr:cNvGrpSpPr>
                    <a:grpSpLocks/>
                  </xdr:cNvGrpSpPr>
                </xdr:nvGrpSpPr>
                <xdr:grpSpPr bwMode="auto">
                  <a:xfrm>
                    <a:off x="-228" y="14888"/>
                    <a:ext cx="38861" cy="12038"/>
                    <a:chOff x="-228" y="14888"/>
                    <a:chExt cx="38862" cy="8868"/>
                  </a:xfrm>
                </xdr:grpSpPr>
                <xdr:sp macro="" textlink="">
                  <xdr:nvSpPr>
                    <xdr:cNvPr id="171" name="Rectangle 45">
                      <a:extLst>
                        <a:ext uri="{FF2B5EF4-FFF2-40B4-BE49-F238E27FC236}">
                          <a16:creationId xmlns:a16="http://schemas.microsoft.com/office/drawing/2014/main" id="{00000000-0008-0000-0700-0000AB000000}"/>
                        </a:ext>
                      </a:extLst>
                    </xdr:cNvPr>
                    <xdr:cNvSpPr>
                      <a:spLocks noChangeArrowheads="1"/>
                    </xdr:cNvSpPr>
                  </xdr:nvSpPr>
                  <xdr:spPr bwMode="auto">
                    <a:xfrm>
                      <a:off x="-228" y="15407"/>
                      <a:ext cx="38861" cy="8349"/>
                    </a:xfrm>
                    <a:prstGeom prst="rect">
                      <a:avLst/>
                    </a:prstGeom>
                    <a:solidFill>
                      <a:srgbClr val="D9D9D9"/>
                    </a:solidFill>
                    <a:ln>
                      <a:noFill/>
                    </a:ln>
                    <a:extLst>
                      <a:ext uri="{91240B29-F687-4F45-9708-019B960494DF}">
                        <a14:hiddenLine xmlns:a14="http://schemas.microsoft.com/office/drawing/2010/main" w="6350">
                          <a:solidFill>
                            <a:srgbClr val="000000"/>
                          </a:solidFill>
                          <a:miter lim="800000"/>
                          <a:headEnd/>
                          <a:tailEnd/>
                        </a14:hiddenLine>
                      </a:ext>
                    </a:extLst>
                  </xdr:spPr>
                </xdr:sp>
                <xdr:sp macro="" textlink="">
                  <xdr:nvSpPr>
                    <xdr:cNvPr id="172" name="Rectangle 46">
                      <a:extLst>
                        <a:ext uri="{FF2B5EF4-FFF2-40B4-BE49-F238E27FC236}">
                          <a16:creationId xmlns:a16="http://schemas.microsoft.com/office/drawing/2014/main" id="{00000000-0008-0000-0700-0000AC000000}"/>
                        </a:ext>
                      </a:extLst>
                    </xdr:cNvPr>
                    <xdr:cNvSpPr>
                      <a:spLocks noChangeArrowheads="1"/>
                    </xdr:cNvSpPr>
                  </xdr:nvSpPr>
                  <xdr:spPr bwMode="auto">
                    <a:xfrm>
                      <a:off x="4010" y="14888"/>
                      <a:ext cx="30480" cy="8805"/>
                    </a:xfrm>
                    <a:prstGeom prst="rect">
                      <a:avLst/>
                    </a:prstGeom>
                    <a:solidFill>
                      <a:srgbClr val="7F7F7F"/>
                    </a:solidFill>
                    <a:ln>
                      <a:noFill/>
                    </a:ln>
                    <a:extLst>
                      <a:ext uri="{91240B29-F687-4F45-9708-019B960494DF}">
                        <a14:hiddenLine xmlns:a14="http://schemas.microsoft.com/office/drawing/2010/main" w="25400">
                          <a:solidFill>
                            <a:srgbClr val="000000"/>
                          </a:solidFill>
                          <a:miter lim="800000"/>
                          <a:headEnd/>
                          <a:tailEnd/>
                        </a14:hiddenLine>
                      </a:ext>
                    </a:extLst>
                  </xdr:spPr>
                </xdr:sp>
                <xdr:sp macro="" textlink="">
                  <xdr:nvSpPr>
                    <xdr:cNvPr id="173" name="Rectangle 47">
                      <a:extLst>
                        <a:ext uri="{FF2B5EF4-FFF2-40B4-BE49-F238E27FC236}">
                          <a16:creationId xmlns:a16="http://schemas.microsoft.com/office/drawing/2014/main" id="{00000000-0008-0000-0700-0000AD000000}"/>
                        </a:ext>
                      </a:extLst>
                    </xdr:cNvPr>
                    <xdr:cNvSpPr>
                      <a:spLocks noChangeArrowheads="1"/>
                    </xdr:cNvSpPr>
                  </xdr:nvSpPr>
                  <xdr:spPr bwMode="auto">
                    <a:xfrm rot="-5400000">
                      <a:off x="16426" y="20215"/>
                      <a:ext cx="5761" cy="1172"/>
                    </a:xfrm>
                    <a:prstGeom prst="rect">
                      <a:avLst/>
                    </a:prstGeom>
                    <a:solidFill>
                      <a:srgbClr val="FFCC00"/>
                    </a:solidFill>
                    <a:ln>
                      <a:noFill/>
                    </a:ln>
                    <a:extLst>
                      <a:ext uri="{91240B29-F687-4F45-9708-019B960494DF}">
                        <a14:hiddenLine xmlns:a14="http://schemas.microsoft.com/office/drawing/2010/main" w="25400">
                          <a:solidFill>
                            <a:srgbClr val="000000"/>
                          </a:solidFill>
                          <a:miter lim="800000"/>
                          <a:headEnd/>
                          <a:tailEnd/>
                        </a14:hiddenLine>
                      </a:ext>
                    </a:extLst>
                  </xdr:spPr>
                </xdr:sp>
              </xdr:grpSp>
              <xdr:sp macro="" textlink="">
                <xdr:nvSpPr>
                  <xdr:cNvPr id="170" name="Rectangle 44">
                    <a:extLst>
                      <a:ext uri="{FF2B5EF4-FFF2-40B4-BE49-F238E27FC236}">
                        <a16:creationId xmlns:a16="http://schemas.microsoft.com/office/drawing/2014/main" id="{00000000-0008-0000-0700-0000AA000000}"/>
                      </a:ext>
                    </a:extLst>
                  </xdr:cNvPr>
                  <xdr:cNvSpPr>
                    <a:spLocks noChangeArrowheads="1"/>
                  </xdr:cNvSpPr>
                </xdr:nvSpPr>
                <xdr:spPr bwMode="auto">
                  <a:xfrm rot="-5400000">
                    <a:off x="13873" y="22381"/>
                    <a:ext cx="7836" cy="1081"/>
                  </a:xfrm>
                  <a:prstGeom prst="rect">
                    <a:avLst/>
                  </a:prstGeom>
                  <a:solidFill>
                    <a:srgbClr val="FFCC00"/>
                  </a:solidFill>
                  <a:ln>
                    <a:noFill/>
                  </a:ln>
                  <a:extLst>
                    <a:ext uri="{91240B29-F687-4F45-9708-019B960494DF}">
                      <a14:hiddenLine xmlns:a14="http://schemas.microsoft.com/office/drawing/2010/main" w="25400">
                        <a:solidFill>
                          <a:srgbClr val="000000"/>
                        </a:solidFill>
                        <a:miter lim="800000"/>
                        <a:headEnd/>
                        <a:tailEnd/>
                      </a14:hiddenLine>
                    </a:ext>
                  </a:extLst>
                </xdr:spPr>
              </xdr:sp>
            </xdr:grpSp>
            <xdr:grpSp>
              <xdr:nvGrpSpPr>
                <xdr:cNvPr id="163" name="Group 37">
                  <a:extLst>
                    <a:ext uri="{FF2B5EF4-FFF2-40B4-BE49-F238E27FC236}">
                      <a16:creationId xmlns:a16="http://schemas.microsoft.com/office/drawing/2014/main" id="{00000000-0008-0000-0700-0000A3000000}"/>
                    </a:ext>
                  </a:extLst>
                </xdr:cNvPr>
                <xdr:cNvGrpSpPr>
                  <a:grpSpLocks/>
                </xdr:cNvGrpSpPr>
              </xdr:nvGrpSpPr>
              <xdr:grpSpPr bwMode="auto">
                <a:xfrm>
                  <a:off x="16736" y="-2185"/>
                  <a:ext cx="22860" cy="17105"/>
                  <a:chOff x="16736" y="-2185"/>
                  <a:chExt cx="38862" cy="11419"/>
                </a:xfrm>
              </xdr:grpSpPr>
              <xdr:grpSp>
                <xdr:nvGrpSpPr>
                  <xdr:cNvPr id="164" name="Group 38">
                    <a:extLst>
                      <a:ext uri="{FF2B5EF4-FFF2-40B4-BE49-F238E27FC236}">
                        <a16:creationId xmlns:a16="http://schemas.microsoft.com/office/drawing/2014/main" id="{00000000-0008-0000-0700-0000A4000000}"/>
                      </a:ext>
                    </a:extLst>
                  </xdr:cNvPr>
                  <xdr:cNvGrpSpPr>
                    <a:grpSpLocks/>
                  </xdr:cNvGrpSpPr>
                </xdr:nvGrpSpPr>
                <xdr:grpSpPr bwMode="auto">
                  <a:xfrm>
                    <a:off x="16736" y="-2185"/>
                    <a:ext cx="38862" cy="11418"/>
                    <a:chOff x="16736" y="-2185"/>
                    <a:chExt cx="38862" cy="8412"/>
                  </a:xfrm>
                </xdr:grpSpPr>
                <xdr:sp macro="" textlink="">
                  <xdr:nvSpPr>
                    <xdr:cNvPr id="166" name="Rectangle 40">
                      <a:extLst>
                        <a:ext uri="{FF2B5EF4-FFF2-40B4-BE49-F238E27FC236}">
                          <a16:creationId xmlns:a16="http://schemas.microsoft.com/office/drawing/2014/main" id="{00000000-0008-0000-0700-0000A6000000}"/>
                        </a:ext>
                      </a:extLst>
                    </xdr:cNvPr>
                    <xdr:cNvSpPr>
                      <a:spLocks noChangeArrowheads="1"/>
                    </xdr:cNvSpPr>
                  </xdr:nvSpPr>
                  <xdr:spPr bwMode="auto">
                    <a:xfrm>
                      <a:off x="16736" y="-2185"/>
                      <a:ext cx="38862" cy="8412"/>
                    </a:xfrm>
                    <a:prstGeom prst="rect">
                      <a:avLst/>
                    </a:prstGeom>
                    <a:solidFill>
                      <a:srgbClr val="D9D9D9"/>
                    </a:solidFill>
                    <a:ln>
                      <a:noFill/>
                    </a:ln>
                    <a:extLst>
                      <a:ext uri="{91240B29-F687-4F45-9708-019B960494DF}">
                        <a14:hiddenLine xmlns:a14="http://schemas.microsoft.com/office/drawing/2010/main" w="6350">
                          <a:solidFill>
                            <a:srgbClr val="000000"/>
                          </a:solidFill>
                          <a:miter lim="800000"/>
                          <a:headEnd/>
                          <a:tailEnd/>
                        </a14:hiddenLine>
                      </a:ext>
                    </a:extLst>
                  </xdr:spPr>
                </xdr:sp>
                <xdr:sp macro="" textlink="">
                  <xdr:nvSpPr>
                    <xdr:cNvPr id="167" name="Rectangle 41">
                      <a:extLst>
                        <a:ext uri="{FF2B5EF4-FFF2-40B4-BE49-F238E27FC236}">
                          <a16:creationId xmlns:a16="http://schemas.microsoft.com/office/drawing/2014/main" id="{00000000-0008-0000-0700-0000A7000000}"/>
                        </a:ext>
                      </a:extLst>
                    </xdr:cNvPr>
                    <xdr:cNvSpPr>
                      <a:spLocks noChangeArrowheads="1"/>
                    </xdr:cNvSpPr>
                  </xdr:nvSpPr>
                  <xdr:spPr bwMode="auto">
                    <a:xfrm>
                      <a:off x="20975" y="-2058"/>
                      <a:ext cx="30480" cy="8285"/>
                    </a:xfrm>
                    <a:prstGeom prst="rect">
                      <a:avLst/>
                    </a:prstGeom>
                    <a:solidFill>
                      <a:srgbClr val="7F7F7F"/>
                    </a:solidFill>
                    <a:ln>
                      <a:noFill/>
                    </a:ln>
                    <a:extLst>
                      <a:ext uri="{91240B29-F687-4F45-9708-019B960494DF}">
                        <a14:hiddenLine xmlns:a14="http://schemas.microsoft.com/office/drawing/2010/main" w="25400">
                          <a:solidFill>
                            <a:srgbClr val="000000"/>
                          </a:solidFill>
                          <a:miter lim="800000"/>
                          <a:headEnd/>
                          <a:tailEnd/>
                        </a14:hiddenLine>
                      </a:ext>
                    </a:extLst>
                  </xdr:spPr>
                </xdr:sp>
                <xdr:sp macro="" textlink="">
                  <xdr:nvSpPr>
                    <xdr:cNvPr id="168" name="Rectangle 42">
                      <a:extLst>
                        <a:ext uri="{FF2B5EF4-FFF2-40B4-BE49-F238E27FC236}">
                          <a16:creationId xmlns:a16="http://schemas.microsoft.com/office/drawing/2014/main" id="{00000000-0008-0000-0700-0000A8000000}"/>
                        </a:ext>
                      </a:extLst>
                    </xdr:cNvPr>
                    <xdr:cNvSpPr>
                      <a:spLocks noChangeArrowheads="1"/>
                    </xdr:cNvSpPr>
                  </xdr:nvSpPr>
                  <xdr:spPr bwMode="auto">
                    <a:xfrm rot="-5400000">
                      <a:off x="33317" y="453"/>
                      <a:ext cx="6002" cy="1082"/>
                    </a:xfrm>
                    <a:prstGeom prst="rect">
                      <a:avLst/>
                    </a:prstGeom>
                    <a:solidFill>
                      <a:srgbClr val="FFCC00"/>
                    </a:solidFill>
                    <a:ln>
                      <a:noFill/>
                    </a:ln>
                    <a:extLst>
                      <a:ext uri="{91240B29-F687-4F45-9708-019B960494DF}">
                        <a14:hiddenLine xmlns:a14="http://schemas.microsoft.com/office/drawing/2010/main" w="25400">
                          <a:solidFill>
                            <a:srgbClr val="000000"/>
                          </a:solidFill>
                          <a:miter lim="800000"/>
                          <a:headEnd/>
                          <a:tailEnd/>
                        </a14:hiddenLine>
                      </a:ext>
                    </a:extLst>
                  </xdr:spPr>
                </xdr:sp>
              </xdr:grpSp>
              <xdr:sp macro="" textlink="">
                <xdr:nvSpPr>
                  <xdr:cNvPr id="165" name="Rectangle 39">
                    <a:extLst>
                      <a:ext uri="{FF2B5EF4-FFF2-40B4-BE49-F238E27FC236}">
                        <a16:creationId xmlns:a16="http://schemas.microsoft.com/office/drawing/2014/main" id="{00000000-0008-0000-0700-0000A5000000}"/>
                      </a:ext>
                    </a:extLst>
                  </xdr:cNvPr>
                  <xdr:cNvSpPr>
                    <a:spLocks noChangeArrowheads="1"/>
                  </xdr:cNvSpPr>
                </xdr:nvSpPr>
                <xdr:spPr bwMode="auto">
                  <a:xfrm rot="-5400000">
                    <a:off x="30689" y="1598"/>
                    <a:ext cx="8131" cy="1082"/>
                  </a:xfrm>
                  <a:prstGeom prst="rect">
                    <a:avLst/>
                  </a:prstGeom>
                  <a:solidFill>
                    <a:srgbClr val="FFCC00"/>
                  </a:solidFill>
                  <a:ln>
                    <a:noFill/>
                  </a:ln>
                  <a:extLst>
                    <a:ext uri="{91240B29-F687-4F45-9708-019B960494DF}">
                      <a14:hiddenLine xmlns:a14="http://schemas.microsoft.com/office/drawing/2010/main" w="25400">
                        <a:solidFill>
                          <a:srgbClr val="000000"/>
                        </a:solidFill>
                        <a:miter lim="800000"/>
                        <a:headEnd/>
                        <a:tailEnd/>
                      </a14:hiddenLine>
                    </a:ext>
                  </a:extLst>
                </xdr:spPr>
              </xdr:sp>
            </xdr:grpSp>
          </xdr:grpSp>
          <xdr:grpSp>
            <xdr:nvGrpSpPr>
              <xdr:cNvPr id="151" name="Group 25">
                <a:extLst>
                  <a:ext uri="{FF2B5EF4-FFF2-40B4-BE49-F238E27FC236}">
                    <a16:creationId xmlns:a16="http://schemas.microsoft.com/office/drawing/2014/main" id="{00000000-0008-0000-0700-000097000000}"/>
                  </a:ext>
                </a:extLst>
              </xdr:cNvPr>
              <xdr:cNvGrpSpPr>
                <a:grpSpLocks/>
              </xdr:cNvGrpSpPr>
            </xdr:nvGrpSpPr>
            <xdr:grpSpPr bwMode="auto">
              <a:xfrm>
                <a:off x="27352" y="17161"/>
                <a:ext cx="4176" cy="12921"/>
                <a:chOff x="27352" y="17161"/>
                <a:chExt cx="4175" cy="12921"/>
              </a:xfrm>
            </xdr:grpSpPr>
            <xdr:sp macro="" textlink="">
              <xdr:nvSpPr>
                <xdr:cNvPr id="158" name="Rectangle 32">
                  <a:extLst>
                    <a:ext uri="{FF2B5EF4-FFF2-40B4-BE49-F238E27FC236}">
                      <a16:creationId xmlns:a16="http://schemas.microsoft.com/office/drawing/2014/main" id="{00000000-0008-0000-0700-00009E000000}"/>
                    </a:ext>
                  </a:extLst>
                </xdr:cNvPr>
                <xdr:cNvSpPr>
                  <a:spLocks noChangeArrowheads="1"/>
                </xdr:cNvSpPr>
              </xdr:nvSpPr>
              <xdr:spPr bwMode="auto">
                <a:xfrm rot="10800000">
                  <a:off x="27352" y="17161"/>
                  <a:ext cx="732" cy="12921"/>
                </a:xfrm>
                <a:prstGeom prst="rect">
                  <a:avLst/>
                </a:prstGeom>
                <a:solidFill>
                  <a:srgbClr val="FFFFFF"/>
                </a:solidFill>
                <a:ln>
                  <a:noFill/>
                </a:ln>
                <a:extLst>
                  <a:ext uri="{91240B29-F687-4F45-9708-019B960494DF}">
                    <a14:hiddenLine xmlns:a14="http://schemas.microsoft.com/office/drawing/2010/main" w="25400">
                      <a:solidFill>
                        <a:srgbClr val="000000"/>
                      </a:solidFill>
                      <a:miter lim="800000"/>
                      <a:headEnd/>
                      <a:tailEnd/>
                    </a14:hiddenLine>
                  </a:ext>
                </a:extLst>
              </xdr:spPr>
            </xdr:sp>
            <xdr:sp macro="" textlink="">
              <xdr:nvSpPr>
                <xdr:cNvPr id="159" name="Rectangle 33">
                  <a:extLst>
                    <a:ext uri="{FF2B5EF4-FFF2-40B4-BE49-F238E27FC236}">
                      <a16:creationId xmlns:a16="http://schemas.microsoft.com/office/drawing/2014/main" id="{00000000-0008-0000-0700-00009F000000}"/>
                    </a:ext>
                  </a:extLst>
                </xdr:cNvPr>
                <xdr:cNvSpPr>
                  <a:spLocks noChangeArrowheads="1"/>
                </xdr:cNvSpPr>
              </xdr:nvSpPr>
              <xdr:spPr bwMode="auto">
                <a:xfrm rot="10800000">
                  <a:off x="30796" y="17181"/>
                  <a:ext cx="732" cy="12887"/>
                </a:xfrm>
                <a:prstGeom prst="rect">
                  <a:avLst/>
                </a:prstGeom>
                <a:solidFill>
                  <a:srgbClr val="FFFFFF"/>
                </a:solidFill>
                <a:ln>
                  <a:noFill/>
                </a:ln>
                <a:extLst>
                  <a:ext uri="{91240B29-F687-4F45-9708-019B960494DF}">
                    <a14:hiddenLine xmlns:a14="http://schemas.microsoft.com/office/drawing/2010/main" w="25400">
                      <a:solidFill>
                        <a:srgbClr val="000000"/>
                      </a:solidFill>
                      <a:miter lim="800000"/>
                      <a:headEnd/>
                      <a:tailEnd/>
                    </a14:hiddenLine>
                  </a:ext>
                </a:extLst>
              </xdr:spPr>
            </xdr:sp>
          </xdr:grpSp>
          <xdr:grpSp>
            <xdr:nvGrpSpPr>
              <xdr:cNvPr id="152" name="Group 26">
                <a:extLst>
                  <a:ext uri="{FF2B5EF4-FFF2-40B4-BE49-F238E27FC236}">
                    <a16:creationId xmlns:a16="http://schemas.microsoft.com/office/drawing/2014/main" id="{00000000-0008-0000-0700-000098000000}"/>
                  </a:ext>
                </a:extLst>
              </xdr:cNvPr>
              <xdr:cNvGrpSpPr>
                <a:grpSpLocks/>
              </xdr:cNvGrpSpPr>
            </xdr:nvGrpSpPr>
            <xdr:grpSpPr bwMode="auto">
              <a:xfrm rot="5400000">
                <a:off x="18827" y="25501"/>
                <a:ext cx="4176" cy="12973"/>
                <a:chOff x="18826" y="25501"/>
                <a:chExt cx="4175" cy="12972"/>
              </a:xfrm>
            </xdr:grpSpPr>
            <xdr:sp macro="" textlink="">
              <xdr:nvSpPr>
                <xdr:cNvPr id="156" name="Rectangle 30">
                  <a:extLst>
                    <a:ext uri="{FF2B5EF4-FFF2-40B4-BE49-F238E27FC236}">
                      <a16:creationId xmlns:a16="http://schemas.microsoft.com/office/drawing/2014/main" id="{00000000-0008-0000-0700-00009C000000}"/>
                    </a:ext>
                  </a:extLst>
                </xdr:cNvPr>
                <xdr:cNvSpPr>
                  <a:spLocks noChangeArrowheads="1"/>
                </xdr:cNvSpPr>
              </xdr:nvSpPr>
              <xdr:spPr bwMode="auto">
                <a:xfrm rot="10800000">
                  <a:off x="18826" y="25567"/>
                  <a:ext cx="732" cy="12887"/>
                </a:xfrm>
                <a:prstGeom prst="rect">
                  <a:avLst/>
                </a:prstGeom>
                <a:solidFill>
                  <a:srgbClr val="FFFFFF"/>
                </a:solidFill>
                <a:ln>
                  <a:noFill/>
                </a:ln>
                <a:extLst>
                  <a:ext uri="{91240B29-F687-4F45-9708-019B960494DF}">
                    <a14:hiddenLine xmlns:a14="http://schemas.microsoft.com/office/drawing/2010/main" w="25400">
                      <a:solidFill>
                        <a:srgbClr val="000000"/>
                      </a:solidFill>
                      <a:miter lim="800000"/>
                      <a:headEnd/>
                      <a:tailEnd/>
                    </a14:hiddenLine>
                  </a:ext>
                </a:extLst>
              </xdr:spPr>
            </xdr:sp>
            <xdr:sp macro="" textlink="">
              <xdr:nvSpPr>
                <xdr:cNvPr id="157" name="Rectangle 31">
                  <a:extLst>
                    <a:ext uri="{FF2B5EF4-FFF2-40B4-BE49-F238E27FC236}">
                      <a16:creationId xmlns:a16="http://schemas.microsoft.com/office/drawing/2014/main" id="{00000000-0008-0000-0700-00009D000000}"/>
                    </a:ext>
                  </a:extLst>
                </xdr:cNvPr>
                <xdr:cNvSpPr>
                  <a:spLocks noChangeArrowheads="1"/>
                </xdr:cNvSpPr>
              </xdr:nvSpPr>
              <xdr:spPr bwMode="auto">
                <a:xfrm rot="10800000">
                  <a:off x="22271" y="25501"/>
                  <a:ext cx="731" cy="12973"/>
                </a:xfrm>
                <a:prstGeom prst="rect">
                  <a:avLst/>
                </a:prstGeom>
                <a:solidFill>
                  <a:srgbClr val="FFFFFF"/>
                </a:solidFill>
                <a:ln>
                  <a:noFill/>
                </a:ln>
                <a:extLst>
                  <a:ext uri="{91240B29-F687-4F45-9708-019B960494DF}">
                    <a14:hiddenLine xmlns:a14="http://schemas.microsoft.com/office/drawing/2010/main" w="25400">
                      <a:solidFill>
                        <a:srgbClr val="000000"/>
                      </a:solidFill>
                      <a:miter lim="800000"/>
                      <a:headEnd/>
                      <a:tailEnd/>
                    </a14:hiddenLine>
                  </a:ext>
                </a:extLst>
              </xdr:spPr>
            </xdr:sp>
          </xdr:grpSp>
          <xdr:grpSp>
            <xdr:nvGrpSpPr>
              <xdr:cNvPr id="153" name="Group 27">
                <a:extLst>
                  <a:ext uri="{FF2B5EF4-FFF2-40B4-BE49-F238E27FC236}">
                    <a16:creationId xmlns:a16="http://schemas.microsoft.com/office/drawing/2014/main" id="{00000000-0008-0000-0700-000099000000}"/>
                  </a:ext>
                </a:extLst>
              </xdr:cNvPr>
              <xdr:cNvGrpSpPr>
                <a:grpSpLocks/>
              </xdr:cNvGrpSpPr>
            </xdr:nvGrpSpPr>
            <xdr:grpSpPr bwMode="auto">
              <a:xfrm>
                <a:off x="10297" y="16992"/>
                <a:ext cx="4151" cy="12922"/>
                <a:chOff x="10297" y="16992"/>
                <a:chExt cx="4150" cy="12921"/>
              </a:xfrm>
            </xdr:grpSpPr>
            <xdr:sp macro="" textlink="">
              <xdr:nvSpPr>
                <xdr:cNvPr id="154" name="Rectangle 28">
                  <a:extLst>
                    <a:ext uri="{FF2B5EF4-FFF2-40B4-BE49-F238E27FC236}">
                      <a16:creationId xmlns:a16="http://schemas.microsoft.com/office/drawing/2014/main" id="{00000000-0008-0000-0700-00009A000000}"/>
                    </a:ext>
                  </a:extLst>
                </xdr:cNvPr>
                <xdr:cNvSpPr>
                  <a:spLocks noChangeArrowheads="1"/>
                </xdr:cNvSpPr>
              </xdr:nvSpPr>
              <xdr:spPr bwMode="auto">
                <a:xfrm rot="10800000">
                  <a:off x="10297" y="16992"/>
                  <a:ext cx="732" cy="12922"/>
                </a:xfrm>
                <a:prstGeom prst="rect">
                  <a:avLst/>
                </a:prstGeom>
                <a:solidFill>
                  <a:srgbClr val="FFFFFF"/>
                </a:solidFill>
                <a:ln>
                  <a:noFill/>
                </a:ln>
                <a:extLst>
                  <a:ext uri="{91240B29-F687-4F45-9708-019B960494DF}">
                    <a14:hiddenLine xmlns:a14="http://schemas.microsoft.com/office/drawing/2010/main" w="25400">
                      <a:solidFill>
                        <a:srgbClr val="000000"/>
                      </a:solidFill>
                      <a:miter lim="800000"/>
                      <a:headEnd/>
                      <a:tailEnd/>
                    </a14:hiddenLine>
                  </a:ext>
                </a:extLst>
              </xdr:spPr>
            </xdr:sp>
            <xdr:sp macro="" textlink="">
              <xdr:nvSpPr>
                <xdr:cNvPr id="155" name="Rectangle 29">
                  <a:extLst>
                    <a:ext uri="{FF2B5EF4-FFF2-40B4-BE49-F238E27FC236}">
                      <a16:creationId xmlns:a16="http://schemas.microsoft.com/office/drawing/2014/main" id="{00000000-0008-0000-0700-00009B000000}"/>
                    </a:ext>
                  </a:extLst>
                </xdr:cNvPr>
                <xdr:cNvSpPr>
                  <a:spLocks noChangeArrowheads="1"/>
                </xdr:cNvSpPr>
              </xdr:nvSpPr>
              <xdr:spPr bwMode="auto">
                <a:xfrm rot="10800000">
                  <a:off x="13741" y="16992"/>
                  <a:ext cx="707" cy="12908"/>
                </a:xfrm>
                <a:prstGeom prst="rect">
                  <a:avLst/>
                </a:prstGeom>
                <a:solidFill>
                  <a:srgbClr val="FFFFFF"/>
                </a:solidFill>
                <a:ln>
                  <a:noFill/>
                </a:ln>
                <a:extLst>
                  <a:ext uri="{91240B29-F687-4F45-9708-019B960494DF}">
                    <a14:hiddenLine xmlns:a14="http://schemas.microsoft.com/office/drawing/2010/main" w="25400">
                      <a:solidFill>
                        <a:srgbClr val="000000"/>
                      </a:solidFill>
                      <a:miter lim="800000"/>
                      <a:headEnd/>
                      <a:tailEnd/>
                    </a14:hiddenLine>
                  </a:ext>
                </a:extLst>
              </xdr:spPr>
            </xdr:sp>
          </xdr:grpSp>
        </xdr:grpSp>
        <xdr:sp macro="" textlink="">
          <xdr:nvSpPr>
            <xdr:cNvPr id="131" name="Straight Connector 5">
              <a:extLst>
                <a:ext uri="{FF2B5EF4-FFF2-40B4-BE49-F238E27FC236}">
                  <a16:creationId xmlns:a16="http://schemas.microsoft.com/office/drawing/2014/main" id="{00000000-0008-0000-0700-000083000000}"/>
                </a:ext>
              </a:extLst>
            </xdr:cNvPr>
            <xdr:cNvSpPr>
              <a:spLocks noChangeShapeType="1"/>
            </xdr:cNvSpPr>
          </xdr:nvSpPr>
          <xdr:spPr bwMode="auto">
            <a:xfrm rot="10800000">
              <a:off x="8723" y="9733"/>
              <a:ext cx="24889"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2" name="Straight Connector 6">
              <a:extLst>
                <a:ext uri="{FF2B5EF4-FFF2-40B4-BE49-F238E27FC236}">
                  <a16:creationId xmlns:a16="http://schemas.microsoft.com/office/drawing/2014/main" id="{00000000-0008-0000-0700-000084000000}"/>
                </a:ext>
              </a:extLst>
            </xdr:cNvPr>
            <xdr:cNvSpPr>
              <a:spLocks noChangeShapeType="1"/>
            </xdr:cNvSpPr>
          </xdr:nvSpPr>
          <xdr:spPr bwMode="auto">
            <a:xfrm rot="10800000">
              <a:off x="8723" y="12287"/>
              <a:ext cx="24889"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3" name="Straight Connector 7">
              <a:extLst>
                <a:ext uri="{FF2B5EF4-FFF2-40B4-BE49-F238E27FC236}">
                  <a16:creationId xmlns:a16="http://schemas.microsoft.com/office/drawing/2014/main" id="{00000000-0008-0000-0700-000085000000}"/>
                </a:ext>
              </a:extLst>
            </xdr:cNvPr>
            <xdr:cNvSpPr>
              <a:spLocks noChangeShapeType="1"/>
            </xdr:cNvSpPr>
          </xdr:nvSpPr>
          <xdr:spPr bwMode="auto">
            <a:xfrm rot="10800000" flipV="1">
              <a:off x="32347" y="8266"/>
              <a:ext cx="0" cy="5108"/>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4" name="Straight Connector 8">
              <a:extLst>
                <a:ext uri="{FF2B5EF4-FFF2-40B4-BE49-F238E27FC236}">
                  <a16:creationId xmlns:a16="http://schemas.microsoft.com/office/drawing/2014/main" id="{00000000-0008-0000-0700-000086000000}"/>
                </a:ext>
              </a:extLst>
            </xdr:cNvPr>
            <xdr:cNvSpPr>
              <a:spLocks noChangeShapeType="1"/>
            </xdr:cNvSpPr>
          </xdr:nvSpPr>
          <xdr:spPr bwMode="auto">
            <a:xfrm rot="10800000" flipV="1">
              <a:off x="30823" y="8235"/>
              <a:ext cx="0" cy="5108"/>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5" name="Straight Connector 9">
              <a:extLst>
                <a:ext uri="{FF2B5EF4-FFF2-40B4-BE49-F238E27FC236}">
                  <a16:creationId xmlns:a16="http://schemas.microsoft.com/office/drawing/2014/main" id="{00000000-0008-0000-0700-000087000000}"/>
                </a:ext>
              </a:extLst>
            </xdr:cNvPr>
            <xdr:cNvSpPr>
              <a:spLocks noChangeShapeType="1"/>
            </xdr:cNvSpPr>
          </xdr:nvSpPr>
          <xdr:spPr bwMode="auto">
            <a:xfrm rot="10800000" flipV="1">
              <a:off x="29299" y="8235"/>
              <a:ext cx="0" cy="5108"/>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6" name="Straight Connector 10">
              <a:extLst>
                <a:ext uri="{FF2B5EF4-FFF2-40B4-BE49-F238E27FC236}">
                  <a16:creationId xmlns:a16="http://schemas.microsoft.com/office/drawing/2014/main" id="{00000000-0008-0000-0700-000088000000}"/>
                </a:ext>
              </a:extLst>
            </xdr:cNvPr>
            <xdr:cNvSpPr>
              <a:spLocks noChangeShapeType="1"/>
            </xdr:cNvSpPr>
          </xdr:nvSpPr>
          <xdr:spPr bwMode="auto">
            <a:xfrm rot="10800000" flipV="1">
              <a:off x="27775" y="8235"/>
              <a:ext cx="0" cy="5108"/>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7" name="Straight Connector 11">
              <a:extLst>
                <a:ext uri="{FF2B5EF4-FFF2-40B4-BE49-F238E27FC236}">
                  <a16:creationId xmlns:a16="http://schemas.microsoft.com/office/drawing/2014/main" id="{00000000-0008-0000-0700-000089000000}"/>
                </a:ext>
              </a:extLst>
            </xdr:cNvPr>
            <xdr:cNvSpPr>
              <a:spLocks noChangeShapeType="1"/>
            </xdr:cNvSpPr>
          </xdr:nvSpPr>
          <xdr:spPr bwMode="auto">
            <a:xfrm rot="10800000" flipV="1">
              <a:off x="26251" y="8235"/>
              <a:ext cx="0" cy="5108"/>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8" name="Straight Connector 12">
              <a:extLst>
                <a:ext uri="{FF2B5EF4-FFF2-40B4-BE49-F238E27FC236}">
                  <a16:creationId xmlns:a16="http://schemas.microsoft.com/office/drawing/2014/main" id="{00000000-0008-0000-0700-00008A000000}"/>
                </a:ext>
              </a:extLst>
            </xdr:cNvPr>
            <xdr:cNvSpPr>
              <a:spLocks noChangeShapeType="1"/>
            </xdr:cNvSpPr>
          </xdr:nvSpPr>
          <xdr:spPr bwMode="auto">
            <a:xfrm rot="10800000" flipV="1">
              <a:off x="24727" y="8235"/>
              <a:ext cx="0" cy="5108"/>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9" name="Straight Connector 13">
              <a:extLst>
                <a:ext uri="{FF2B5EF4-FFF2-40B4-BE49-F238E27FC236}">
                  <a16:creationId xmlns:a16="http://schemas.microsoft.com/office/drawing/2014/main" id="{00000000-0008-0000-0700-00008B000000}"/>
                </a:ext>
              </a:extLst>
            </xdr:cNvPr>
            <xdr:cNvSpPr>
              <a:spLocks noChangeShapeType="1"/>
            </xdr:cNvSpPr>
          </xdr:nvSpPr>
          <xdr:spPr bwMode="auto">
            <a:xfrm rot="10800000" flipV="1">
              <a:off x="23203" y="8235"/>
              <a:ext cx="0" cy="5108"/>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0" name="Straight Connector 14">
              <a:extLst>
                <a:ext uri="{FF2B5EF4-FFF2-40B4-BE49-F238E27FC236}">
                  <a16:creationId xmlns:a16="http://schemas.microsoft.com/office/drawing/2014/main" id="{00000000-0008-0000-0700-00008C000000}"/>
                </a:ext>
              </a:extLst>
            </xdr:cNvPr>
            <xdr:cNvSpPr>
              <a:spLocks noChangeShapeType="1"/>
            </xdr:cNvSpPr>
          </xdr:nvSpPr>
          <xdr:spPr bwMode="auto">
            <a:xfrm rot="10800000" flipV="1">
              <a:off x="21679" y="8235"/>
              <a:ext cx="0" cy="5108"/>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1" name="Straight Connector 15">
              <a:extLst>
                <a:ext uri="{FF2B5EF4-FFF2-40B4-BE49-F238E27FC236}">
                  <a16:creationId xmlns:a16="http://schemas.microsoft.com/office/drawing/2014/main" id="{00000000-0008-0000-0700-00008D000000}"/>
                </a:ext>
              </a:extLst>
            </xdr:cNvPr>
            <xdr:cNvSpPr>
              <a:spLocks noChangeShapeType="1"/>
            </xdr:cNvSpPr>
          </xdr:nvSpPr>
          <xdr:spPr bwMode="auto">
            <a:xfrm rot="10800000" flipV="1">
              <a:off x="20155" y="8235"/>
              <a:ext cx="0" cy="5108"/>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2" name="Straight Connector 16">
              <a:extLst>
                <a:ext uri="{FF2B5EF4-FFF2-40B4-BE49-F238E27FC236}">
                  <a16:creationId xmlns:a16="http://schemas.microsoft.com/office/drawing/2014/main" id="{00000000-0008-0000-0700-00008E000000}"/>
                </a:ext>
              </a:extLst>
            </xdr:cNvPr>
            <xdr:cNvSpPr>
              <a:spLocks noChangeShapeType="1"/>
            </xdr:cNvSpPr>
          </xdr:nvSpPr>
          <xdr:spPr bwMode="auto">
            <a:xfrm rot="10800000" flipV="1">
              <a:off x="18631" y="8251"/>
              <a:ext cx="0" cy="5108"/>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3" name="Straight Connector 17">
              <a:extLst>
                <a:ext uri="{FF2B5EF4-FFF2-40B4-BE49-F238E27FC236}">
                  <a16:creationId xmlns:a16="http://schemas.microsoft.com/office/drawing/2014/main" id="{00000000-0008-0000-0700-00008F000000}"/>
                </a:ext>
              </a:extLst>
            </xdr:cNvPr>
            <xdr:cNvSpPr>
              <a:spLocks noChangeShapeType="1"/>
            </xdr:cNvSpPr>
          </xdr:nvSpPr>
          <xdr:spPr bwMode="auto">
            <a:xfrm rot="10800000" flipV="1">
              <a:off x="17107" y="8251"/>
              <a:ext cx="0" cy="5108"/>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4" name="Straight Connector 18">
              <a:extLst>
                <a:ext uri="{FF2B5EF4-FFF2-40B4-BE49-F238E27FC236}">
                  <a16:creationId xmlns:a16="http://schemas.microsoft.com/office/drawing/2014/main" id="{00000000-0008-0000-0700-000090000000}"/>
                </a:ext>
              </a:extLst>
            </xdr:cNvPr>
            <xdr:cNvSpPr>
              <a:spLocks noChangeShapeType="1"/>
            </xdr:cNvSpPr>
          </xdr:nvSpPr>
          <xdr:spPr bwMode="auto">
            <a:xfrm rot="10800000" flipV="1">
              <a:off x="15583" y="8251"/>
              <a:ext cx="0" cy="5108"/>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5" name="Straight Connector 19">
              <a:extLst>
                <a:ext uri="{FF2B5EF4-FFF2-40B4-BE49-F238E27FC236}">
                  <a16:creationId xmlns:a16="http://schemas.microsoft.com/office/drawing/2014/main" id="{00000000-0008-0000-0700-000091000000}"/>
                </a:ext>
              </a:extLst>
            </xdr:cNvPr>
            <xdr:cNvSpPr>
              <a:spLocks noChangeShapeType="1"/>
            </xdr:cNvSpPr>
          </xdr:nvSpPr>
          <xdr:spPr bwMode="auto">
            <a:xfrm rot="10800000" flipV="1">
              <a:off x="14059" y="8251"/>
              <a:ext cx="0" cy="5108"/>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6" name="Straight Connector 20">
              <a:extLst>
                <a:ext uri="{FF2B5EF4-FFF2-40B4-BE49-F238E27FC236}">
                  <a16:creationId xmlns:a16="http://schemas.microsoft.com/office/drawing/2014/main" id="{00000000-0008-0000-0700-000092000000}"/>
                </a:ext>
              </a:extLst>
            </xdr:cNvPr>
            <xdr:cNvSpPr>
              <a:spLocks noChangeShapeType="1"/>
            </xdr:cNvSpPr>
          </xdr:nvSpPr>
          <xdr:spPr bwMode="auto">
            <a:xfrm rot="10800000" flipV="1">
              <a:off x="12535" y="8251"/>
              <a:ext cx="0" cy="5108"/>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7" name="Straight Connector 21">
              <a:extLst>
                <a:ext uri="{FF2B5EF4-FFF2-40B4-BE49-F238E27FC236}">
                  <a16:creationId xmlns:a16="http://schemas.microsoft.com/office/drawing/2014/main" id="{00000000-0008-0000-0700-000093000000}"/>
                </a:ext>
              </a:extLst>
            </xdr:cNvPr>
            <xdr:cNvSpPr>
              <a:spLocks noChangeShapeType="1"/>
            </xdr:cNvSpPr>
          </xdr:nvSpPr>
          <xdr:spPr bwMode="auto">
            <a:xfrm rot="10800000" flipV="1">
              <a:off x="11011" y="8251"/>
              <a:ext cx="0" cy="5108"/>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8" name="Straight Connector 22">
              <a:extLst>
                <a:ext uri="{FF2B5EF4-FFF2-40B4-BE49-F238E27FC236}">
                  <a16:creationId xmlns:a16="http://schemas.microsoft.com/office/drawing/2014/main" id="{00000000-0008-0000-0700-000094000000}"/>
                </a:ext>
              </a:extLst>
            </xdr:cNvPr>
            <xdr:cNvSpPr>
              <a:spLocks noChangeShapeType="1"/>
            </xdr:cNvSpPr>
          </xdr:nvSpPr>
          <xdr:spPr bwMode="auto">
            <a:xfrm rot="10800000" flipV="1">
              <a:off x="9487" y="8251"/>
              <a:ext cx="0" cy="5108"/>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29" name="Rectangle 3">
            <a:extLst>
              <a:ext uri="{FF2B5EF4-FFF2-40B4-BE49-F238E27FC236}">
                <a16:creationId xmlns:a16="http://schemas.microsoft.com/office/drawing/2014/main" id="{00000000-0008-0000-0700-000081000000}"/>
              </a:ext>
            </a:extLst>
          </xdr:cNvPr>
          <xdr:cNvSpPr>
            <a:spLocks noChangeArrowheads="1"/>
          </xdr:cNvSpPr>
        </xdr:nvSpPr>
        <xdr:spPr bwMode="auto">
          <a:xfrm rot="-5400000">
            <a:off x="17008" y="3855"/>
            <a:ext cx="1098" cy="6167"/>
          </a:xfrm>
          <a:prstGeom prst="rect">
            <a:avLst/>
          </a:prstGeom>
          <a:solidFill>
            <a:srgbClr val="FFFFFF"/>
          </a:solidFill>
          <a:ln>
            <a:noFill/>
          </a:ln>
          <a:extLst>
            <a:ext uri="{91240B29-F687-4F45-9708-019B960494DF}">
              <a14:hiddenLine xmlns:a14="http://schemas.microsoft.com/office/drawing/2010/main" w="25400">
                <a:solidFill>
                  <a:srgbClr val="000000"/>
                </a:solidFill>
                <a:miter lim="800000"/>
                <a:headEnd/>
                <a:tailEnd/>
              </a14:hiddenLine>
            </a:ext>
          </a:extLst>
        </xdr:spPr>
      </xdr:sp>
    </xdr:grpSp>
    <xdr:clientData/>
  </xdr:twoCellAnchor>
  <xdr:twoCellAnchor>
    <xdr:from>
      <xdr:col>3</xdr:col>
      <xdr:colOff>231775</xdr:colOff>
      <xdr:row>180</xdr:row>
      <xdr:rowOff>533400</xdr:rowOff>
    </xdr:from>
    <xdr:to>
      <xdr:col>3</xdr:col>
      <xdr:colOff>1478684</xdr:colOff>
      <xdr:row>186</xdr:row>
      <xdr:rowOff>117475</xdr:rowOff>
    </xdr:to>
    <xdr:grpSp>
      <xdr:nvGrpSpPr>
        <xdr:cNvPr id="184" name="Group 75">
          <a:extLst>
            <a:ext uri="{FF2B5EF4-FFF2-40B4-BE49-F238E27FC236}">
              <a16:creationId xmlns:a16="http://schemas.microsoft.com/office/drawing/2014/main" id="{00000000-0008-0000-0700-0000B8000000}"/>
            </a:ext>
          </a:extLst>
        </xdr:cNvPr>
        <xdr:cNvGrpSpPr>
          <a:grpSpLocks/>
        </xdr:cNvGrpSpPr>
      </xdr:nvGrpSpPr>
      <xdr:grpSpPr bwMode="auto">
        <a:xfrm rot="5400000">
          <a:off x="2224289" y="82684736"/>
          <a:ext cx="1031875" cy="1245004"/>
          <a:chOff x="2185" y="-2185"/>
          <a:chExt cx="37411" cy="44563"/>
        </a:xfrm>
      </xdr:grpSpPr>
      <xdr:grpSp>
        <xdr:nvGrpSpPr>
          <xdr:cNvPr id="185" name="Group 2">
            <a:extLst>
              <a:ext uri="{FF2B5EF4-FFF2-40B4-BE49-F238E27FC236}">
                <a16:creationId xmlns:a16="http://schemas.microsoft.com/office/drawing/2014/main" id="{00000000-0008-0000-0700-0000B9000000}"/>
              </a:ext>
            </a:extLst>
          </xdr:cNvPr>
          <xdr:cNvGrpSpPr>
            <a:grpSpLocks/>
          </xdr:cNvGrpSpPr>
        </xdr:nvGrpSpPr>
        <xdr:grpSpPr bwMode="auto">
          <a:xfrm>
            <a:off x="2185" y="-2185"/>
            <a:ext cx="37411" cy="44563"/>
            <a:chOff x="2185" y="-2185"/>
            <a:chExt cx="37411" cy="44563"/>
          </a:xfrm>
        </xdr:grpSpPr>
        <xdr:grpSp>
          <xdr:nvGrpSpPr>
            <xdr:cNvPr id="187" name="Group 4">
              <a:extLst>
                <a:ext uri="{FF2B5EF4-FFF2-40B4-BE49-F238E27FC236}">
                  <a16:creationId xmlns:a16="http://schemas.microsoft.com/office/drawing/2014/main" id="{00000000-0008-0000-0700-0000BB000000}"/>
                </a:ext>
              </a:extLst>
            </xdr:cNvPr>
            <xdr:cNvGrpSpPr>
              <a:grpSpLocks/>
            </xdr:cNvGrpSpPr>
          </xdr:nvGrpSpPr>
          <xdr:grpSpPr bwMode="auto">
            <a:xfrm>
              <a:off x="2185" y="-2185"/>
              <a:ext cx="37411" cy="44563"/>
              <a:chOff x="2185" y="-2185"/>
              <a:chExt cx="37411" cy="44563"/>
            </a:xfrm>
          </xdr:grpSpPr>
          <xdr:sp macro="" textlink="">
            <xdr:nvSpPr>
              <xdr:cNvPr id="206" name="Rectangle 23">
                <a:extLst>
                  <a:ext uri="{FF2B5EF4-FFF2-40B4-BE49-F238E27FC236}">
                    <a16:creationId xmlns:a16="http://schemas.microsoft.com/office/drawing/2014/main" id="{00000000-0008-0000-0700-0000CE000000}"/>
                  </a:ext>
                </a:extLst>
              </xdr:cNvPr>
              <xdr:cNvSpPr>
                <a:spLocks noChangeArrowheads="1"/>
              </xdr:cNvSpPr>
            </xdr:nvSpPr>
            <xdr:spPr bwMode="auto">
              <a:xfrm rot="10800000">
                <a:off x="14363" y="16824"/>
                <a:ext cx="13037" cy="13258"/>
              </a:xfrm>
              <a:prstGeom prst="rect">
                <a:avLst/>
              </a:prstGeom>
              <a:solidFill>
                <a:srgbClr val="7F7F7F"/>
              </a:solidFill>
              <a:ln>
                <a:noFill/>
              </a:ln>
              <a:extLst>
                <a:ext uri="{91240B29-F687-4F45-9708-019B960494DF}">
                  <a14:hiddenLine xmlns:a14="http://schemas.microsoft.com/office/drawing/2010/main" w="25400">
                    <a:solidFill>
                      <a:srgbClr val="000000"/>
                    </a:solidFill>
                    <a:miter lim="800000"/>
                    <a:headEnd/>
                    <a:tailEnd/>
                  </a14:hiddenLine>
                </a:ext>
              </a:extLst>
            </xdr:spPr>
          </xdr:sp>
          <xdr:grpSp>
            <xdr:nvGrpSpPr>
              <xdr:cNvPr id="207" name="Group 24">
                <a:extLst>
                  <a:ext uri="{FF2B5EF4-FFF2-40B4-BE49-F238E27FC236}">
                    <a16:creationId xmlns:a16="http://schemas.microsoft.com/office/drawing/2014/main" id="{00000000-0008-0000-0700-0000CF000000}"/>
                  </a:ext>
                </a:extLst>
              </xdr:cNvPr>
              <xdr:cNvGrpSpPr>
                <a:grpSpLocks/>
              </xdr:cNvGrpSpPr>
            </xdr:nvGrpSpPr>
            <xdr:grpSpPr bwMode="auto">
              <a:xfrm rot="10800000">
                <a:off x="2185" y="-2185"/>
                <a:ext cx="37411" cy="44563"/>
                <a:chOff x="2185" y="-2185"/>
                <a:chExt cx="52079" cy="61999"/>
              </a:xfrm>
            </xdr:grpSpPr>
            <xdr:grpSp>
              <xdr:nvGrpSpPr>
                <xdr:cNvPr id="217" name="Group 34">
                  <a:extLst>
                    <a:ext uri="{FF2B5EF4-FFF2-40B4-BE49-F238E27FC236}">
                      <a16:creationId xmlns:a16="http://schemas.microsoft.com/office/drawing/2014/main" id="{00000000-0008-0000-0700-0000D9000000}"/>
                    </a:ext>
                  </a:extLst>
                </xdr:cNvPr>
                <xdr:cNvGrpSpPr>
                  <a:grpSpLocks/>
                </xdr:cNvGrpSpPr>
              </xdr:nvGrpSpPr>
              <xdr:grpSpPr bwMode="auto">
                <a:xfrm>
                  <a:off x="16736" y="32897"/>
                  <a:ext cx="22860" cy="26916"/>
                  <a:chOff x="16736" y="32897"/>
                  <a:chExt cx="38862" cy="17967"/>
                </a:xfrm>
              </xdr:grpSpPr>
              <xdr:grpSp>
                <xdr:nvGrpSpPr>
                  <xdr:cNvPr id="236" name="Group 53">
                    <a:extLst>
                      <a:ext uri="{FF2B5EF4-FFF2-40B4-BE49-F238E27FC236}">
                        <a16:creationId xmlns:a16="http://schemas.microsoft.com/office/drawing/2014/main" id="{00000000-0008-0000-0700-0000EC000000}"/>
                      </a:ext>
                    </a:extLst>
                  </xdr:cNvPr>
                  <xdr:cNvGrpSpPr>
                    <a:grpSpLocks/>
                  </xdr:cNvGrpSpPr>
                </xdr:nvGrpSpPr>
                <xdr:grpSpPr bwMode="auto">
                  <a:xfrm>
                    <a:off x="16736" y="32897"/>
                    <a:ext cx="38862" cy="17968"/>
                    <a:chOff x="16736" y="32897"/>
                    <a:chExt cx="38862" cy="13236"/>
                  </a:xfrm>
                </xdr:grpSpPr>
                <xdr:sp macro="" textlink="">
                  <xdr:nvSpPr>
                    <xdr:cNvPr id="238" name="Rectangle 55">
                      <a:extLst>
                        <a:ext uri="{FF2B5EF4-FFF2-40B4-BE49-F238E27FC236}">
                          <a16:creationId xmlns:a16="http://schemas.microsoft.com/office/drawing/2014/main" id="{00000000-0008-0000-0700-0000EE000000}"/>
                        </a:ext>
                      </a:extLst>
                    </xdr:cNvPr>
                    <xdr:cNvSpPr>
                      <a:spLocks noChangeArrowheads="1"/>
                    </xdr:cNvSpPr>
                  </xdr:nvSpPr>
                  <xdr:spPr bwMode="auto">
                    <a:xfrm>
                      <a:off x="16736" y="32897"/>
                      <a:ext cx="38862" cy="13237"/>
                    </a:xfrm>
                    <a:prstGeom prst="rect">
                      <a:avLst/>
                    </a:prstGeom>
                    <a:solidFill>
                      <a:srgbClr val="D9D9D9"/>
                    </a:solidFill>
                    <a:ln>
                      <a:noFill/>
                    </a:ln>
                    <a:extLst>
                      <a:ext uri="{91240B29-F687-4F45-9708-019B960494DF}">
                        <a14:hiddenLine xmlns:a14="http://schemas.microsoft.com/office/drawing/2010/main" w="6350">
                          <a:solidFill>
                            <a:srgbClr val="000000"/>
                          </a:solidFill>
                          <a:miter lim="800000"/>
                          <a:headEnd/>
                          <a:tailEnd/>
                        </a14:hiddenLine>
                      </a:ext>
                    </a:extLst>
                  </xdr:spPr>
                </xdr:sp>
                <xdr:sp macro="" textlink="">
                  <xdr:nvSpPr>
                    <xdr:cNvPr id="239" name="Rectangle 56">
                      <a:extLst>
                        <a:ext uri="{FF2B5EF4-FFF2-40B4-BE49-F238E27FC236}">
                          <a16:creationId xmlns:a16="http://schemas.microsoft.com/office/drawing/2014/main" id="{00000000-0008-0000-0700-0000EF000000}"/>
                        </a:ext>
                      </a:extLst>
                    </xdr:cNvPr>
                    <xdr:cNvSpPr>
                      <a:spLocks noChangeArrowheads="1"/>
                    </xdr:cNvSpPr>
                  </xdr:nvSpPr>
                  <xdr:spPr bwMode="auto">
                    <a:xfrm>
                      <a:off x="21015" y="32897"/>
                      <a:ext cx="30439" cy="13237"/>
                    </a:xfrm>
                    <a:prstGeom prst="rect">
                      <a:avLst/>
                    </a:prstGeom>
                    <a:solidFill>
                      <a:srgbClr val="7F7F7F"/>
                    </a:solidFill>
                    <a:ln>
                      <a:noFill/>
                    </a:ln>
                    <a:extLst>
                      <a:ext uri="{91240B29-F687-4F45-9708-019B960494DF}">
                        <a14:hiddenLine xmlns:a14="http://schemas.microsoft.com/office/drawing/2010/main" w="25400">
                          <a:solidFill>
                            <a:srgbClr val="000000"/>
                          </a:solidFill>
                          <a:miter lim="800000"/>
                          <a:headEnd/>
                          <a:tailEnd/>
                        </a14:hiddenLine>
                      </a:ext>
                    </a:extLst>
                  </xdr:spPr>
                </xdr:sp>
                <xdr:sp macro="" textlink="">
                  <xdr:nvSpPr>
                    <xdr:cNvPr id="240" name="Rectangle 57">
                      <a:extLst>
                        <a:ext uri="{FF2B5EF4-FFF2-40B4-BE49-F238E27FC236}">
                          <a16:creationId xmlns:a16="http://schemas.microsoft.com/office/drawing/2014/main" id="{00000000-0008-0000-0700-0000F0000000}"/>
                        </a:ext>
                      </a:extLst>
                    </xdr:cNvPr>
                    <xdr:cNvSpPr>
                      <a:spLocks noChangeArrowheads="1"/>
                    </xdr:cNvSpPr>
                  </xdr:nvSpPr>
                  <xdr:spPr bwMode="auto">
                    <a:xfrm rot="16200000" flipV="1">
                      <a:off x="30538" y="39375"/>
                      <a:ext cx="12456" cy="1062"/>
                    </a:xfrm>
                    <a:prstGeom prst="rect">
                      <a:avLst/>
                    </a:prstGeom>
                    <a:solidFill>
                      <a:srgbClr val="FFCC00"/>
                    </a:solidFill>
                    <a:ln>
                      <a:noFill/>
                    </a:ln>
                    <a:extLst>
                      <a:ext uri="{91240B29-F687-4F45-9708-019B960494DF}">
                        <a14:hiddenLine xmlns:a14="http://schemas.microsoft.com/office/drawing/2010/main" w="25400">
                          <a:solidFill>
                            <a:srgbClr val="000000"/>
                          </a:solidFill>
                          <a:miter lim="800000"/>
                          <a:headEnd/>
                          <a:tailEnd/>
                        </a14:hiddenLine>
                      </a:ext>
                    </a:extLst>
                  </xdr:spPr>
                </xdr:sp>
              </xdr:grpSp>
              <xdr:sp macro="" textlink="">
                <xdr:nvSpPr>
                  <xdr:cNvPr id="237" name="Rectangle 54">
                    <a:extLst>
                      <a:ext uri="{FF2B5EF4-FFF2-40B4-BE49-F238E27FC236}">
                        <a16:creationId xmlns:a16="http://schemas.microsoft.com/office/drawing/2014/main" id="{00000000-0008-0000-0700-0000ED000000}"/>
                      </a:ext>
                    </a:extLst>
                  </xdr:cNvPr>
                  <xdr:cNvSpPr>
                    <a:spLocks noChangeArrowheads="1"/>
                  </xdr:cNvSpPr>
                </xdr:nvSpPr>
                <xdr:spPr bwMode="auto">
                  <a:xfrm rot="-5400000">
                    <a:off x="26852" y="41879"/>
                    <a:ext cx="16908" cy="1063"/>
                  </a:xfrm>
                  <a:prstGeom prst="rect">
                    <a:avLst/>
                  </a:prstGeom>
                  <a:solidFill>
                    <a:srgbClr val="FFCC00"/>
                  </a:solidFill>
                  <a:ln>
                    <a:noFill/>
                  </a:ln>
                  <a:extLst>
                    <a:ext uri="{91240B29-F687-4F45-9708-019B960494DF}">
                      <a14:hiddenLine xmlns:a14="http://schemas.microsoft.com/office/drawing/2010/main" w="25400">
                        <a:solidFill>
                          <a:srgbClr val="000000"/>
                        </a:solidFill>
                        <a:miter lim="800000"/>
                        <a:headEnd/>
                        <a:tailEnd/>
                      </a14:hiddenLine>
                    </a:ext>
                  </a:extLst>
                </xdr:spPr>
              </xdr:sp>
            </xdr:grpSp>
            <xdr:grpSp>
              <xdr:nvGrpSpPr>
                <xdr:cNvPr id="218" name="Group 35">
                  <a:extLst>
                    <a:ext uri="{FF2B5EF4-FFF2-40B4-BE49-F238E27FC236}">
                      <a16:creationId xmlns:a16="http://schemas.microsoft.com/office/drawing/2014/main" id="{00000000-0008-0000-0700-0000DA000000}"/>
                    </a:ext>
                  </a:extLst>
                </xdr:cNvPr>
                <xdr:cNvGrpSpPr>
                  <a:grpSpLocks/>
                </xdr:cNvGrpSpPr>
              </xdr:nvGrpSpPr>
              <xdr:grpSpPr bwMode="auto">
                <a:xfrm rot="5400000">
                  <a:off x="34282" y="15581"/>
                  <a:ext cx="22860" cy="17106"/>
                  <a:chOff x="34282" y="15581"/>
                  <a:chExt cx="38862" cy="11419"/>
                </a:xfrm>
              </xdr:grpSpPr>
              <xdr:grpSp>
                <xdr:nvGrpSpPr>
                  <xdr:cNvPr id="231" name="Group 48">
                    <a:extLst>
                      <a:ext uri="{FF2B5EF4-FFF2-40B4-BE49-F238E27FC236}">
                        <a16:creationId xmlns:a16="http://schemas.microsoft.com/office/drawing/2014/main" id="{00000000-0008-0000-0700-0000E7000000}"/>
                      </a:ext>
                    </a:extLst>
                  </xdr:cNvPr>
                  <xdr:cNvGrpSpPr>
                    <a:grpSpLocks/>
                  </xdr:cNvGrpSpPr>
                </xdr:nvGrpSpPr>
                <xdr:grpSpPr bwMode="auto">
                  <a:xfrm>
                    <a:off x="34282" y="15581"/>
                    <a:ext cx="38862" cy="11419"/>
                    <a:chOff x="34282" y="15581"/>
                    <a:chExt cx="38862" cy="8412"/>
                  </a:xfrm>
                </xdr:grpSpPr>
                <xdr:sp macro="" textlink="">
                  <xdr:nvSpPr>
                    <xdr:cNvPr id="233" name="Rectangle 50">
                      <a:extLst>
                        <a:ext uri="{FF2B5EF4-FFF2-40B4-BE49-F238E27FC236}">
                          <a16:creationId xmlns:a16="http://schemas.microsoft.com/office/drawing/2014/main" id="{00000000-0008-0000-0700-0000E9000000}"/>
                        </a:ext>
                      </a:extLst>
                    </xdr:cNvPr>
                    <xdr:cNvSpPr>
                      <a:spLocks noChangeArrowheads="1"/>
                    </xdr:cNvSpPr>
                  </xdr:nvSpPr>
                  <xdr:spPr bwMode="auto">
                    <a:xfrm>
                      <a:off x="34282" y="15581"/>
                      <a:ext cx="38862" cy="8413"/>
                    </a:xfrm>
                    <a:prstGeom prst="rect">
                      <a:avLst/>
                    </a:prstGeom>
                    <a:solidFill>
                      <a:srgbClr val="D9D9D9"/>
                    </a:solidFill>
                    <a:ln>
                      <a:noFill/>
                    </a:ln>
                    <a:extLst>
                      <a:ext uri="{91240B29-F687-4F45-9708-019B960494DF}">
                        <a14:hiddenLine xmlns:a14="http://schemas.microsoft.com/office/drawing/2010/main" w="6350">
                          <a:solidFill>
                            <a:srgbClr val="000000"/>
                          </a:solidFill>
                          <a:miter lim="800000"/>
                          <a:headEnd/>
                          <a:tailEnd/>
                        </a14:hiddenLine>
                      </a:ext>
                    </a:extLst>
                  </xdr:spPr>
                </xdr:sp>
                <xdr:sp macro="" textlink="">
                  <xdr:nvSpPr>
                    <xdr:cNvPr id="234" name="Rectangle 51">
                      <a:extLst>
                        <a:ext uri="{FF2B5EF4-FFF2-40B4-BE49-F238E27FC236}">
                          <a16:creationId xmlns:a16="http://schemas.microsoft.com/office/drawing/2014/main" id="{00000000-0008-0000-0700-0000EA000000}"/>
                        </a:ext>
                      </a:extLst>
                    </xdr:cNvPr>
                    <xdr:cNvSpPr>
                      <a:spLocks noChangeArrowheads="1"/>
                    </xdr:cNvSpPr>
                  </xdr:nvSpPr>
                  <xdr:spPr bwMode="auto">
                    <a:xfrm>
                      <a:off x="38520" y="15644"/>
                      <a:ext cx="30480" cy="8350"/>
                    </a:xfrm>
                    <a:prstGeom prst="rect">
                      <a:avLst/>
                    </a:prstGeom>
                    <a:solidFill>
                      <a:srgbClr val="7F7F7F"/>
                    </a:solidFill>
                    <a:ln>
                      <a:noFill/>
                    </a:ln>
                    <a:extLst>
                      <a:ext uri="{91240B29-F687-4F45-9708-019B960494DF}">
                        <a14:hiddenLine xmlns:a14="http://schemas.microsoft.com/office/drawing/2010/main" w="25400">
                          <a:solidFill>
                            <a:srgbClr val="000000"/>
                          </a:solidFill>
                          <a:miter lim="800000"/>
                          <a:headEnd/>
                          <a:tailEnd/>
                        </a14:hiddenLine>
                      </a:ext>
                    </a:extLst>
                  </xdr:spPr>
                </xdr:sp>
                <xdr:sp macro="" textlink="">
                  <xdr:nvSpPr>
                    <xdr:cNvPr id="235" name="Rectangle 52">
                      <a:extLst>
                        <a:ext uri="{FF2B5EF4-FFF2-40B4-BE49-F238E27FC236}">
                          <a16:creationId xmlns:a16="http://schemas.microsoft.com/office/drawing/2014/main" id="{00000000-0008-0000-0700-0000EB000000}"/>
                        </a:ext>
                      </a:extLst>
                    </xdr:cNvPr>
                    <xdr:cNvSpPr>
                      <a:spLocks noChangeArrowheads="1"/>
                    </xdr:cNvSpPr>
                  </xdr:nvSpPr>
                  <xdr:spPr bwMode="auto">
                    <a:xfrm rot="-5400000">
                      <a:off x="50861" y="18093"/>
                      <a:ext cx="6004" cy="1082"/>
                    </a:xfrm>
                    <a:prstGeom prst="rect">
                      <a:avLst/>
                    </a:prstGeom>
                    <a:solidFill>
                      <a:srgbClr val="FFCC00"/>
                    </a:solidFill>
                    <a:ln>
                      <a:noFill/>
                    </a:ln>
                    <a:extLst>
                      <a:ext uri="{91240B29-F687-4F45-9708-019B960494DF}">
                        <a14:hiddenLine xmlns:a14="http://schemas.microsoft.com/office/drawing/2010/main" w="25400">
                          <a:solidFill>
                            <a:srgbClr val="000000"/>
                          </a:solidFill>
                          <a:miter lim="800000"/>
                          <a:headEnd/>
                          <a:tailEnd/>
                        </a14:hiddenLine>
                      </a:ext>
                    </a:extLst>
                  </xdr:spPr>
                </xdr:sp>
              </xdr:grpSp>
              <xdr:sp macro="" textlink="">
                <xdr:nvSpPr>
                  <xdr:cNvPr id="232" name="Rectangle 49">
                    <a:extLst>
                      <a:ext uri="{FF2B5EF4-FFF2-40B4-BE49-F238E27FC236}">
                        <a16:creationId xmlns:a16="http://schemas.microsoft.com/office/drawing/2014/main" id="{00000000-0008-0000-0700-0000E8000000}"/>
                      </a:ext>
                    </a:extLst>
                  </xdr:cNvPr>
                  <xdr:cNvSpPr>
                    <a:spLocks noChangeArrowheads="1"/>
                  </xdr:cNvSpPr>
                </xdr:nvSpPr>
                <xdr:spPr bwMode="auto">
                  <a:xfrm rot="-5400000">
                    <a:off x="48234" y="19193"/>
                    <a:ext cx="8133" cy="1081"/>
                  </a:xfrm>
                  <a:prstGeom prst="rect">
                    <a:avLst/>
                  </a:prstGeom>
                  <a:solidFill>
                    <a:srgbClr val="FFCC00"/>
                  </a:solidFill>
                  <a:ln>
                    <a:noFill/>
                  </a:ln>
                  <a:extLst>
                    <a:ext uri="{91240B29-F687-4F45-9708-019B960494DF}">
                      <a14:hiddenLine xmlns:a14="http://schemas.microsoft.com/office/drawing/2010/main" w="25400">
                        <a:solidFill>
                          <a:srgbClr val="000000"/>
                        </a:solidFill>
                        <a:miter lim="800000"/>
                        <a:headEnd/>
                        <a:tailEnd/>
                      </a14:hiddenLine>
                    </a:ext>
                  </a:extLst>
                </xdr:spPr>
              </xdr:sp>
            </xdr:grpSp>
            <xdr:grpSp>
              <xdr:nvGrpSpPr>
                <xdr:cNvPr id="219" name="Group 36">
                  <a:extLst>
                    <a:ext uri="{FF2B5EF4-FFF2-40B4-BE49-F238E27FC236}">
                      <a16:creationId xmlns:a16="http://schemas.microsoft.com/office/drawing/2014/main" id="{00000000-0008-0000-0700-0000DB000000}"/>
                    </a:ext>
                  </a:extLst>
                </xdr:cNvPr>
                <xdr:cNvGrpSpPr>
                  <a:grpSpLocks/>
                </xdr:cNvGrpSpPr>
              </xdr:nvGrpSpPr>
              <xdr:grpSpPr bwMode="auto">
                <a:xfrm rot="5400000">
                  <a:off x="-228" y="14888"/>
                  <a:ext cx="22860" cy="18033"/>
                  <a:chOff x="-228" y="14888"/>
                  <a:chExt cx="38862" cy="12038"/>
                </a:xfrm>
              </xdr:grpSpPr>
              <xdr:grpSp>
                <xdr:nvGrpSpPr>
                  <xdr:cNvPr id="226" name="Group 43">
                    <a:extLst>
                      <a:ext uri="{FF2B5EF4-FFF2-40B4-BE49-F238E27FC236}">
                        <a16:creationId xmlns:a16="http://schemas.microsoft.com/office/drawing/2014/main" id="{00000000-0008-0000-0700-0000E2000000}"/>
                      </a:ext>
                    </a:extLst>
                  </xdr:cNvPr>
                  <xdr:cNvGrpSpPr>
                    <a:grpSpLocks/>
                  </xdr:cNvGrpSpPr>
                </xdr:nvGrpSpPr>
                <xdr:grpSpPr bwMode="auto">
                  <a:xfrm>
                    <a:off x="-228" y="14888"/>
                    <a:ext cx="38861" cy="12038"/>
                    <a:chOff x="-228" y="14888"/>
                    <a:chExt cx="38862" cy="8868"/>
                  </a:xfrm>
                </xdr:grpSpPr>
                <xdr:sp macro="" textlink="">
                  <xdr:nvSpPr>
                    <xdr:cNvPr id="228" name="Rectangle 45">
                      <a:extLst>
                        <a:ext uri="{FF2B5EF4-FFF2-40B4-BE49-F238E27FC236}">
                          <a16:creationId xmlns:a16="http://schemas.microsoft.com/office/drawing/2014/main" id="{00000000-0008-0000-0700-0000E4000000}"/>
                        </a:ext>
                      </a:extLst>
                    </xdr:cNvPr>
                    <xdr:cNvSpPr>
                      <a:spLocks noChangeArrowheads="1"/>
                    </xdr:cNvSpPr>
                  </xdr:nvSpPr>
                  <xdr:spPr bwMode="auto">
                    <a:xfrm>
                      <a:off x="-228" y="15407"/>
                      <a:ext cx="38861" cy="8349"/>
                    </a:xfrm>
                    <a:prstGeom prst="rect">
                      <a:avLst/>
                    </a:prstGeom>
                    <a:solidFill>
                      <a:srgbClr val="D9D9D9"/>
                    </a:solidFill>
                    <a:ln>
                      <a:noFill/>
                    </a:ln>
                    <a:extLst>
                      <a:ext uri="{91240B29-F687-4F45-9708-019B960494DF}">
                        <a14:hiddenLine xmlns:a14="http://schemas.microsoft.com/office/drawing/2010/main" w="6350">
                          <a:solidFill>
                            <a:srgbClr val="000000"/>
                          </a:solidFill>
                          <a:miter lim="800000"/>
                          <a:headEnd/>
                          <a:tailEnd/>
                        </a14:hiddenLine>
                      </a:ext>
                    </a:extLst>
                  </xdr:spPr>
                </xdr:sp>
                <xdr:sp macro="" textlink="">
                  <xdr:nvSpPr>
                    <xdr:cNvPr id="229" name="Rectangle 46">
                      <a:extLst>
                        <a:ext uri="{FF2B5EF4-FFF2-40B4-BE49-F238E27FC236}">
                          <a16:creationId xmlns:a16="http://schemas.microsoft.com/office/drawing/2014/main" id="{00000000-0008-0000-0700-0000E5000000}"/>
                        </a:ext>
                      </a:extLst>
                    </xdr:cNvPr>
                    <xdr:cNvSpPr>
                      <a:spLocks noChangeArrowheads="1"/>
                    </xdr:cNvSpPr>
                  </xdr:nvSpPr>
                  <xdr:spPr bwMode="auto">
                    <a:xfrm>
                      <a:off x="4010" y="14888"/>
                      <a:ext cx="30480" cy="8805"/>
                    </a:xfrm>
                    <a:prstGeom prst="rect">
                      <a:avLst/>
                    </a:prstGeom>
                    <a:solidFill>
                      <a:srgbClr val="7F7F7F"/>
                    </a:solidFill>
                    <a:ln>
                      <a:noFill/>
                    </a:ln>
                    <a:extLst>
                      <a:ext uri="{91240B29-F687-4F45-9708-019B960494DF}">
                        <a14:hiddenLine xmlns:a14="http://schemas.microsoft.com/office/drawing/2010/main" w="25400">
                          <a:solidFill>
                            <a:srgbClr val="000000"/>
                          </a:solidFill>
                          <a:miter lim="800000"/>
                          <a:headEnd/>
                          <a:tailEnd/>
                        </a14:hiddenLine>
                      </a:ext>
                    </a:extLst>
                  </xdr:spPr>
                </xdr:sp>
                <xdr:sp macro="" textlink="">
                  <xdr:nvSpPr>
                    <xdr:cNvPr id="230" name="Rectangle 47">
                      <a:extLst>
                        <a:ext uri="{FF2B5EF4-FFF2-40B4-BE49-F238E27FC236}">
                          <a16:creationId xmlns:a16="http://schemas.microsoft.com/office/drawing/2014/main" id="{00000000-0008-0000-0700-0000E6000000}"/>
                        </a:ext>
                      </a:extLst>
                    </xdr:cNvPr>
                    <xdr:cNvSpPr>
                      <a:spLocks noChangeArrowheads="1"/>
                    </xdr:cNvSpPr>
                  </xdr:nvSpPr>
                  <xdr:spPr bwMode="auto">
                    <a:xfrm rot="-5400000">
                      <a:off x="16426" y="20215"/>
                      <a:ext cx="5761" cy="1172"/>
                    </a:xfrm>
                    <a:prstGeom prst="rect">
                      <a:avLst/>
                    </a:prstGeom>
                    <a:solidFill>
                      <a:srgbClr val="FFCC00"/>
                    </a:solidFill>
                    <a:ln>
                      <a:noFill/>
                    </a:ln>
                    <a:extLst>
                      <a:ext uri="{91240B29-F687-4F45-9708-019B960494DF}">
                        <a14:hiddenLine xmlns:a14="http://schemas.microsoft.com/office/drawing/2010/main" w="25400">
                          <a:solidFill>
                            <a:srgbClr val="000000"/>
                          </a:solidFill>
                          <a:miter lim="800000"/>
                          <a:headEnd/>
                          <a:tailEnd/>
                        </a14:hiddenLine>
                      </a:ext>
                    </a:extLst>
                  </xdr:spPr>
                </xdr:sp>
              </xdr:grpSp>
              <xdr:sp macro="" textlink="">
                <xdr:nvSpPr>
                  <xdr:cNvPr id="227" name="Rectangle 44">
                    <a:extLst>
                      <a:ext uri="{FF2B5EF4-FFF2-40B4-BE49-F238E27FC236}">
                        <a16:creationId xmlns:a16="http://schemas.microsoft.com/office/drawing/2014/main" id="{00000000-0008-0000-0700-0000E3000000}"/>
                      </a:ext>
                    </a:extLst>
                  </xdr:cNvPr>
                  <xdr:cNvSpPr>
                    <a:spLocks noChangeArrowheads="1"/>
                  </xdr:cNvSpPr>
                </xdr:nvSpPr>
                <xdr:spPr bwMode="auto">
                  <a:xfrm rot="-5400000">
                    <a:off x="13873" y="22381"/>
                    <a:ext cx="7836" cy="1081"/>
                  </a:xfrm>
                  <a:prstGeom prst="rect">
                    <a:avLst/>
                  </a:prstGeom>
                  <a:solidFill>
                    <a:srgbClr val="FFCC00"/>
                  </a:solidFill>
                  <a:ln>
                    <a:noFill/>
                  </a:ln>
                  <a:extLst>
                    <a:ext uri="{91240B29-F687-4F45-9708-019B960494DF}">
                      <a14:hiddenLine xmlns:a14="http://schemas.microsoft.com/office/drawing/2010/main" w="25400">
                        <a:solidFill>
                          <a:srgbClr val="000000"/>
                        </a:solidFill>
                        <a:miter lim="800000"/>
                        <a:headEnd/>
                        <a:tailEnd/>
                      </a14:hiddenLine>
                    </a:ext>
                  </a:extLst>
                </xdr:spPr>
              </xdr:sp>
            </xdr:grpSp>
            <xdr:grpSp>
              <xdr:nvGrpSpPr>
                <xdr:cNvPr id="220" name="Group 37">
                  <a:extLst>
                    <a:ext uri="{FF2B5EF4-FFF2-40B4-BE49-F238E27FC236}">
                      <a16:creationId xmlns:a16="http://schemas.microsoft.com/office/drawing/2014/main" id="{00000000-0008-0000-0700-0000DC000000}"/>
                    </a:ext>
                  </a:extLst>
                </xdr:cNvPr>
                <xdr:cNvGrpSpPr>
                  <a:grpSpLocks/>
                </xdr:cNvGrpSpPr>
              </xdr:nvGrpSpPr>
              <xdr:grpSpPr bwMode="auto">
                <a:xfrm>
                  <a:off x="16736" y="-2185"/>
                  <a:ext cx="22860" cy="17105"/>
                  <a:chOff x="16736" y="-2185"/>
                  <a:chExt cx="38862" cy="11419"/>
                </a:xfrm>
              </xdr:grpSpPr>
              <xdr:grpSp>
                <xdr:nvGrpSpPr>
                  <xdr:cNvPr id="221" name="Group 38">
                    <a:extLst>
                      <a:ext uri="{FF2B5EF4-FFF2-40B4-BE49-F238E27FC236}">
                        <a16:creationId xmlns:a16="http://schemas.microsoft.com/office/drawing/2014/main" id="{00000000-0008-0000-0700-0000DD000000}"/>
                      </a:ext>
                    </a:extLst>
                  </xdr:cNvPr>
                  <xdr:cNvGrpSpPr>
                    <a:grpSpLocks/>
                  </xdr:cNvGrpSpPr>
                </xdr:nvGrpSpPr>
                <xdr:grpSpPr bwMode="auto">
                  <a:xfrm>
                    <a:off x="16736" y="-2185"/>
                    <a:ext cx="38862" cy="11418"/>
                    <a:chOff x="16736" y="-2185"/>
                    <a:chExt cx="38862" cy="8412"/>
                  </a:xfrm>
                </xdr:grpSpPr>
                <xdr:sp macro="" textlink="">
                  <xdr:nvSpPr>
                    <xdr:cNvPr id="223" name="Rectangle 40">
                      <a:extLst>
                        <a:ext uri="{FF2B5EF4-FFF2-40B4-BE49-F238E27FC236}">
                          <a16:creationId xmlns:a16="http://schemas.microsoft.com/office/drawing/2014/main" id="{00000000-0008-0000-0700-0000DF000000}"/>
                        </a:ext>
                      </a:extLst>
                    </xdr:cNvPr>
                    <xdr:cNvSpPr>
                      <a:spLocks noChangeArrowheads="1"/>
                    </xdr:cNvSpPr>
                  </xdr:nvSpPr>
                  <xdr:spPr bwMode="auto">
                    <a:xfrm>
                      <a:off x="16736" y="-2185"/>
                      <a:ext cx="38862" cy="8412"/>
                    </a:xfrm>
                    <a:prstGeom prst="rect">
                      <a:avLst/>
                    </a:prstGeom>
                    <a:solidFill>
                      <a:srgbClr val="D9D9D9"/>
                    </a:solidFill>
                    <a:ln>
                      <a:noFill/>
                    </a:ln>
                    <a:extLst>
                      <a:ext uri="{91240B29-F687-4F45-9708-019B960494DF}">
                        <a14:hiddenLine xmlns:a14="http://schemas.microsoft.com/office/drawing/2010/main" w="6350">
                          <a:solidFill>
                            <a:srgbClr val="000000"/>
                          </a:solidFill>
                          <a:miter lim="800000"/>
                          <a:headEnd/>
                          <a:tailEnd/>
                        </a14:hiddenLine>
                      </a:ext>
                    </a:extLst>
                  </xdr:spPr>
                </xdr:sp>
                <xdr:sp macro="" textlink="">
                  <xdr:nvSpPr>
                    <xdr:cNvPr id="224" name="Rectangle 41">
                      <a:extLst>
                        <a:ext uri="{FF2B5EF4-FFF2-40B4-BE49-F238E27FC236}">
                          <a16:creationId xmlns:a16="http://schemas.microsoft.com/office/drawing/2014/main" id="{00000000-0008-0000-0700-0000E0000000}"/>
                        </a:ext>
                      </a:extLst>
                    </xdr:cNvPr>
                    <xdr:cNvSpPr>
                      <a:spLocks noChangeArrowheads="1"/>
                    </xdr:cNvSpPr>
                  </xdr:nvSpPr>
                  <xdr:spPr bwMode="auto">
                    <a:xfrm>
                      <a:off x="20975" y="-2058"/>
                      <a:ext cx="30480" cy="8285"/>
                    </a:xfrm>
                    <a:prstGeom prst="rect">
                      <a:avLst/>
                    </a:prstGeom>
                    <a:solidFill>
                      <a:srgbClr val="7F7F7F"/>
                    </a:solidFill>
                    <a:ln>
                      <a:noFill/>
                    </a:ln>
                    <a:extLst>
                      <a:ext uri="{91240B29-F687-4F45-9708-019B960494DF}">
                        <a14:hiddenLine xmlns:a14="http://schemas.microsoft.com/office/drawing/2010/main" w="25400">
                          <a:solidFill>
                            <a:srgbClr val="000000"/>
                          </a:solidFill>
                          <a:miter lim="800000"/>
                          <a:headEnd/>
                          <a:tailEnd/>
                        </a14:hiddenLine>
                      </a:ext>
                    </a:extLst>
                  </xdr:spPr>
                </xdr:sp>
                <xdr:sp macro="" textlink="">
                  <xdr:nvSpPr>
                    <xdr:cNvPr id="225" name="Rectangle 42">
                      <a:extLst>
                        <a:ext uri="{FF2B5EF4-FFF2-40B4-BE49-F238E27FC236}">
                          <a16:creationId xmlns:a16="http://schemas.microsoft.com/office/drawing/2014/main" id="{00000000-0008-0000-0700-0000E1000000}"/>
                        </a:ext>
                      </a:extLst>
                    </xdr:cNvPr>
                    <xdr:cNvSpPr>
                      <a:spLocks noChangeArrowheads="1"/>
                    </xdr:cNvSpPr>
                  </xdr:nvSpPr>
                  <xdr:spPr bwMode="auto">
                    <a:xfrm rot="-5400000">
                      <a:off x="33317" y="453"/>
                      <a:ext cx="6002" cy="1082"/>
                    </a:xfrm>
                    <a:prstGeom prst="rect">
                      <a:avLst/>
                    </a:prstGeom>
                    <a:solidFill>
                      <a:srgbClr val="FFCC00"/>
                    </a:solidFill>
                    <a:ln>
                      <a:noFill/>
                    </a:ln>
                    <a:extLst>
                      <a:ext uri="{91240B29-F687-4F45-9708-019B960494DF}">
                        <a14:hiddenLine xmlns:a14="http://schemas.microsoft.com/office/drawing/2010/main" w="25400">
                          <a:solidFill>
                            <a:srgbClr val="000000"/>
                          </a:solidFill>
                          <a:miter lim="800000"/>
                          <a:headEnd/>
                          <a:tailEnd/>
                        </a14:hiddenLine>
                      </a:ext>
                    </a:extLst>
                  </xdr:spPr>
                </xdr:sp>
              </xdr:grpSp>
              <xdr:sp macro="" textlink="">
                <xdr:nvSpPr>
                  <xdr:cNvPr id="222" name="Rectangle 39">
                    <a:extLst>
                      <a:ext uri="{FF2B5EF4-FFF2-40B4-BE49-F238E27FC236}">
                        <a16:creationId xmlns:a16="http://schemas.microsoft.com/office/drawing/2014/main" id="{00000000-0008-0000-0700-0000DE000000}"/>
                      </a:ext>
                    </a:extLst>
                  </xdr:cNvPr>
                  <xdr:cNvSpPr>
                    <a:spLocks noChangeArrowheads="1"/>
                  </xdr:cNvSpPr>
                </xdr:nvSpPr>
                <xdr:spPr bwMode="auto">
                  <a:xfrm rot="-5400000">
                    <a:off x="30689" y="1598"/>
                    <a:ext cx="8131" cy="1082"/>
                  </a:xfrm>
                  <a:prstGeom prst="rect">
                    <a:avLst/>
                  </a:prstGeom>
                  <a:solidFill>
                    <a:srgbClr val="FFCC00"/>
                  </a:solidFill>
                  <a:ln>
                    <a:noFill/>
                  </a:ln>
                  <a:extLst>
                    <a:ext uri="{91240B29-F687-4F45-9708-019B960494DF}">
                      <a14:hiddenLine xmlns:a14="http://schemas.microsoft.com/office/drawing/2010/main" w="25400">
                        <a:solidFill>
                          <a:srgbClr val="000000"/>
                        </a:solidFill>
                        <a:miter lim="800000"/>
                        <a:headEnd/>
                        <a:tailEnd/>
                      </a14:hiddenLine>
                    </a:ext>
                  </a:extLst>
                </xdr:spPr>
              </xdr:sp>
            </xdr:grpSp>
          </xdr:grpSp>
          <xdr:grpSp>
            <xdr:nvGrpSpPr>
              <xdr:cNvPr id="208" name="Group 25">
                <a:extLst>
                  <a:ext uri="{FF2B5EF4-FFF2-40B4-BE49-F238E27FC236}">
                    <a16:creationId xmlns:a16="http://schemas.microsoft.com/office/drawing/2014/main" id="{00000000-0008-0000-0700-0000D0000000}"/>
                  </a:ext>
                </a:extLst>
              </xdr:cNvPr>
              <xdr:cNvGrpSpPr>
                <a:grpSpLocks/>
              </xdr:cNvGrpSpPr>
            </xdr:nvGrpSpPr>
            <xdr:grpSpPr bwMode="auto">
              <a:xfrm>
                <a:off x="27352" y="17161"/>
                <a:ext cx="4176" cy="12921"/>
                <a:chOff x="27352" y="17161"/>
                <a:chExt cx="4175" cy="12921"/>
              </a:xfrm>
            </xdr:grpSpPr>
            <xdr:sp macro="" textlink="">
              <xdr:nvSpPr>
                <xdr:cNvPr id="215" name="Rectangle 32">
                  <a:extLst>
                    <a:ext uri="{FF2B5EF4-FFF2-40B4-BE49-F238E27FC236}">
                      <a16:creationId xmlns:a16="http://schemas.microsoft.com/office/drawing/2014/main" id="{00000000-0008-0000-0700-0000D7000000}"/>
                    </a:ext>
                  </a:extLst>
                </xdr:cNvPr>
                <xdr:cNvSpPr>
                  <a:spLocks noChangeArrowheads="1"/>
                </xdr:cNvSpPr>
              </xdr:nvSpPr>
              <xdr:spPr bwMode="auto">
                <a:xfrm rot="10800000">
                  <a:off x="27352" y="17161"/>
                  <a:ext cx="732" cy="12921"/>
                </a:xfrm>
                <a:prstGeom prst="rect">
                  <a:avLst/>
                </a:prstGeom>
                <a:solidFill>
                  <a:srgbClr val="FFFFFF"/>
                </a:solidFill>
                <a:ln>
                  <a:noFill/>
                </a:ln>
                <a:extLst>
                  <a:ext uri="{91240B29-F687-4F45-9708-019B960494DF}">
                    <a14:hiddenLine xmlns:a14="http://schemas.microsoft.com/office/drawing/2010/main" w="25400">
                      <a:solidFill>
                        <a:srgbClr val="000000"/>
                      </a:solidFill>
                      <a:miter lim="800000"/>
                      <a:headEnd/>
                      <a:tailEnd/>
                    </a14:hiddenLine>
                  </a:ext>
                </a:extLst>
              </xdr:spPr>
            </xdr:sp>
            <xdr:sp macro="" textlink="">
              <xdr:nvSpPr>
                <xdr:cNvPr id="216" name="Rectangle 33">
                  <a:extLst>
                    <a:ext uri="{FF2B5EF4-FFF2-40B4-BE49-F238E27FC236}">
                      <a16:creationId xmlns:a16="http://schemas.microsoft.com/office/drawing/2014/main" id="{00000000-0008-0000-0700-0000D8000000}"/>
                    </a:ext>
                  </a:extLst>
                </xdr:cNvPr>
                <xdr:cNvSpPr>
                  <a:spLocks noChangeArrowheads="1"/>
                </xdr:cNvSpPr>
              </xdr:nvSpPr>
              <xdr:spPr bwMode="auto">
                <a:xfrm rot="10800000">
                  <a:off x="30796" y="17181"/>
                  <a:ext cx="732" cy="12887"/>
                </a:xfrm>
                <a:prstGeom prst="rect">
                  <a:avLst/>
                </a:prstGeom>
                <a:solidFill>
                  <a:srgbClr val="FFFFFF"/>
                </a:solidFill>
                <a:ln>
                  <a:noFill/>
                </a:ln>
                <a:extLst>
                  <a:ext uri="{91240B29-F687-4F45-9708-019B960494DF}">
                    <a14:hiddenLine xmlns:a14="http://schemas.microsoft.com/office/drawing/2010/main" w="25400">
                      <a:solidFill>
                        <a:srgbClr val="000000"/>
                      </a:solidFill>
                      <a:miter lim="800000"/>
                      <a:headEnd/>
                      <a:tailEnd/>
                    </a14:hiddenLine>
                  </a:ext>
                </a:extLst>
              </xdr:spPr>
            </xdr:sp>
          </xdr:grpSp>
          <xdr:grpSp>
            <xdr:nvGrpSpPr>
              <xdr:cNvPr id="209" name="Group 26">
                <a:extLst>
                  <a:ext uri="{FF2B5EF4-FFF2-40B4-BE49-F238E27FC236}">
                    <a16:creationId xmlns:a16="http://schemas.microsoft.com/office/drawing/2014/main" id="{00000000-0008-0000-0700-0000D1000000}"/>
                  </a:ext>
                </a:extLst>
              </xdr:cNvPr>
              <xdr:cNvGrpSpPr>
                <a:grpSpLocks/>
              </xdr:cNvGrpSpPr>
            </xdr:nvGrpSpPr>
            <xdr:grpSpPr bwMode="auto">
              <a:xfrm rot="5400000">
                <a:off x="18827" y="25501"/>
                <a:ext cx="4176" cy="12973"/>
                <a:chOff x="18826" y="25501"/>
                <a:chExt cx="4175" cy="12972"/>
              </a:xfrm>
            </xdr:grpSpPr>
            <xdr:sp macro="" textlink="">
              <xdr:nvSpPr>
                <xdr:cNvPr id="213" name="Rectangle 30">
                  <a:extLst>
                    <a:ext uri="{FF2B5EF4-FFF2-40B4-BE49-F238E27FC236}">
                      <a16:creationId xmlns:a16="http://schemas.microsoft.com/office/drawing/2014/main" id="{00000000-0008-0000-0700-0000D5000000}"/>
                    </a:ext>
                  </a:extLst>
                </xdr:cNvPr>
                <xdr:cNvSpPr>
                  <a:spLocks noChangeArrowheads="1"/>
                </xdr:cNvSpPr>
              </xdr:nvSpPr>
              <xdr:spPr bwMode="auto">
                <a:xfrm rot="10800000">
                  <a:off x="18826" y="25567"/>
                  <a:ext cx="732" cy="12887"/>
                </a:xfrm>
                <a:prstGeom prst="rect">
                  <a:avLst/>
                </a:prstGeom>
                <a:solidFill>
                  <a:srgbClr val="FFFFFF"/>
                </a:solidFill>
                <a:ln>
                  <a:noFill/>
                </a:ln>
                <a:extLst>
                  <a:ext uri="{91240B29-F687-4F45-9708-019B960494DF}">
                    <a14:hiddenLine xmlns:a14="http://schemas.microsoft.com/office/drawing/2010/main" w="25400">
                      <a:solidFill>
                        <a:srgbClr val="000000"/>
                      </a:solidFill>
                      <a:miter lim="800000"/>
                      <a:headEnd/>
                      <a:tailEnd/>
                    </a14:hiddenLine>
                  </a:ext>
                </a:extLst>
              </xdr:spPr>
            </xdr:sp>
            <xdr:sp macro="" textlink="">
              <xdr:nvSpPr>
                <xdr:cNvPr id="214" name="Rectangle 31">
                  <a:extLst>
                    <a:ext uri="{FF2B5EF4-FFF2-40B4-BE49-F238E27FC236}">
                      <a16:creationId xmlns:a16="http://schemas.microsoft.com/office/drawing/2014/main" id="{00000000-0008-0000-0700-0000D6000000}"/>
                    </a:ext>
                  </a:extLst>
                </xdr:cNvPr>
                <xdr:cNvSpPr>
                  <a:spLocks noChangeArrowheads="1"/>
                </xdr:cNvSpPr>
              </xdr:nvSpPr>
              <xdr:spPr bwMode="auto">
                <a:xfrm rot="10800000">
                  <a:off x="22271" y="25501"/>
                  <a:ext cx="731" cy="12973"/>
                </a:xfrm>
                <a:prstGeom prst="rect">
                  <a:avLst/>
                </a:prstGeom>
                <a:solidFill>
                  <a:srgbClr val="FFFFFF"/>
                </a:solidFill>
                <a:ln>
                  <a:noFill/>
                </a:ln>
                <a:extLst>
                  <a:ext uri="{91240B29-F687-4F45-9708-019B960494DF}">
                    <a14:hiddenLine xmlns:a14="http://schemas.microsoft.com/office/drawing/2010/main" w="25400">
                      <a:solidFill>
                        <a:srgbClr val="000000"/>
                      </a:solidFill>
                      <a:miter lim="800000"/>
                      <a:headEnd/>
                      <a:tailEnd/>
                    </a14:hiddenLine>
                  </a:ext>
                </a:extLst>
              </xdr:spPr>
            </xdr:sp>
          </xdr:grpSp>
          <xdr:grpSp>
            <xdr:nvGrpSpPr>
              <xdr:cNvPr id="210" name="Group 27">
                <a:extLst>
                  <a:ext uri="{FF2B5EF4-FFF2-40B4-BE49-F238E27FC236}">
                    <a16:creationId xmlns:a16="http://schemas.microsoft.com/office/drawing/2014/main" id="{00000000-0008-0000-0700-0000D2000000}"/>
                  </a:ext>
                </a:extLst>
              </xdr:cNvPr>
              <xdr:cNvGrpSpPr>
                <a:grpSpLocks/>
              </xdr:cNvGrpSpPr>
            </xdr:nvGrpSpPr>
            <xdr:grpSpPr bwMode="auto">
              <a:xfrm>
                <a:off x="10297" y="16992"/>
                <a:ext cx="4151" cy="12922"/>
                <a:chOff x="10297" y="16992"/>
                <a:chExt cx="4150" cy="12921"/>
              </a:xfrm>
            </xdr:grpSpPr>
            <xdr:sp macro="" textlink="">
              <xdr:nvSpPr>
                <xdr:cNvPr id="211" name="Rectangle 28">
                  <a:extLst>
                    <a:ext uri="{FF2B5EF4-FFF2-40B4-BE49-F238E27FC236}">
                      <a16:creationId xmlns:a16="http://schemas.microsoft.com/office/drawing/2014/main" id="{00000000-0008-0000-0700-0000D3000000}"/>
                    </a:ext>
                  </a:extLst>
                </xdr:cNvPr>
                <xdr:cNvSpPr>
                  <a:spLocks noChangeArrowheads="1"/>
                </xdr:cNvSpPr>
              </xdr:nvSpPr>
              <xdr:spPr bwMode="auto">
                <a:xfrm rot="10800000">
                  <a:off x="10297" y="16992"/>
                  <a:ext cx="732" cy="12922"/>
                </a:xfrm>
                <a:prstGeom prst="rect">
                  <a:avLst/>
                </a:prstGeom>
                <a:solidFill>
                  <a:srgbClr val="FFFFFF"/>
                </a:solidFill>
                <a:ln>
                  <a:noFill/>
                </a:ln>
                <a:extLst>
                  <a:ext uri="{91240B29-F687-4F45-9708-019B960494DF}">
                    <a14:hiddenLine xmlns:a14="http://schemas.microsoft.com/office/drawing/2010/main" w="25400">
                      <a:solidFill>
                        <a:srgbClr val="000000"/>
                      </a:solidFill>
                      <a:miter lim="800000"/>
                      <a:headEnd/>
                      <a:tailEnd/>
                    </a14:hiddenLine>
                  </a:ext>
                </a:extLst>
              </xdr:spPr>
            </xdr:sp>
            <xdr:sp macro="" textlink="">
              <xdr:nvSpPr>
                <xdr:cNvPr id="212" name="Rectangle 29">
                  <a:extLst>
                    <a:ext uri="{FF2B5EF4-FFF2-40B4-BE49-F238E27FC236}">
                      <a16:creationId xmlns:a16="http://schemas.microsoft.com/office/drawing/2014/main" id="{00000000-0008-0000-0700-0000D4000000}"/>
                    </a:ext>
                  </a:extLst>
                </xdr:cNvPr>
                <xdr:cNvSpPr>
                  <a:spLocks noChangeArrowheads="1"/>
                </xdr:cNvSpPr>
              </xdr:nvSpPr>
              <xdr:spPr bwMode="auto">
                <a:xfrm rot="10800000">
                  <a:off x="13741" y="16992"/>
                  <a:ext cx="707" cy="12908"/>
                </a:xfrm>
                <a:prstGeom prst="rect">
                  <a:avLst/>
                </a:prstGeom>
                <a:solidFill>
                  <a:srgbClr val="FFFFFF"/>
                </a:solidFill>
                <a:ln>
                  <a:noFill/>
                </a:ln>
                <a:extLst>
                  <a:ext uri="{91240B29-F687-4F45-9708-019B960494DF}">
                    <a14:hiddenLine xmlns:a14="http://schemas.microsoft.com/office/drawing/2010/main" w="25400">
                      <a:solidFill>
                        <a:srgbClr val="000000"/>
                      </a:solidFill>
                      <a:miter lim="800000"/>
                      <a:headEnd/>
                      <a:tailEnd/>
                    </a14:hiddenLine>
                  </a:ext>
                </a:extLst>
              </xdr:spPr>
            </xdr:sp>
          </xdr:grpSp>
        </xdr:grpSp>
        <xdr:sp macro="" textlink="">
          <xdr:nvSpPr>
            <xdr:cNvPr id="188" name="Straight Connector 5">
              <a:extLst>
                <a:ext uri="{FF2B5EF4-FFF2-40B4-BE49-F238E27FC236}">
                  <a16:creationId xmlns:a16="http://schemas.microsoft.com/office/drawing/2014/main" id="{00000000-0008-0000-0700-0000BC000000}"/>
                </a:ext>
              </a:extLst>
            </xdr:cNvPr>
            <xdr:cNvSpPr>
              <a:spLocks noChangeShapeType="1"/>
            </xdr:cNvSpPr>
          </xdr:nvSpPr>
          <xdr:spPr bwMode="auto">
            <a:xfrm rot="10800000">
              <a:off x="8723" y="9733"/>
              <a:ext cx="24889"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89" name="Straight Connector 6">
              <a:extLst>
                <a:ext uri="{FF2B5EF4-FFF2-40B4-BE49-F238E27FC236}">
                  <a16:creationId xmlns:a16="http://schemas.microsoft.com/office/drawing/2014/main" id="{00000000-0008-0000-0700-0000BD000000}"/>
                </a:ext>
              </a:extLst>
            </xdr:cNvPr>
            <xdr:cNvSpPr>
              <a:spLocks noChangeShapeType="1"/>
            </xdr:cNvSpPr>
          </xdr:nvSpPr>
          <xdr:spPr bwMode="auto">
            <a:xfrm rot="10800000">
              <a:off x="8723" y="12287"/>
              <a:ext cx="24889"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0" name="Straight Connector 7">
              <a:extLst>
                <a:ext uri="{FF2B5EF4-FFF2-40B4-BE49-F238E27FC236}">
                  <a16:creationId xmlns:a16="http://schemas.microsoft.com/office/drawing/2014/main" id="{00000000-0008-0000-0700-0000BE000000}"/>
                </a:ext>
              </a:extLst>
            </xdr:cNvPr>
            <xdr:cNvSpPr>
              <a:spLocks noChangeShapeType="1"/>
            </xdr:cNvSpPr>
          </xdr:nvSpPr>
          <xdr:spPr bwMode="auto">
            <a:xfrm rot="10800000" flipV="1">
              <a:off x="32347" y="8266"/>
              <a:ext cx="0" cy="5108"/>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1" name="Straight Connector 8">
              <a:extLst>
                <a:ext uri="{FF2B5EF4-FFF2-40B4-BE49-F238E27FC236}">
                  <a16:creationId xmlns:a16="http://schemas.microsoft.com/office/drawing/2014/main" id="{00000000-0008-0000-0700-0000BF000000}"/>
                </a:ext>
              </a:extLst>
            </xdr:cNvPr>
            <xdr:cNvSpPr>
              <a:spLocks noChangeShapeType="1"/>
            </xdr:cNvSpPr>
          </xdr:nvSpPr>
          <xdr:spPr bwMode="auto">
            <a:xfrm rot="10800000" flipV="1">
              <a:off x="30823" y="8235"/>
              <a:ext cx="0" cy="5108"/>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2" name="Straight Connector 9">
              <a:extLst>
                <a:ext uri="{FF2B5EF4-FFF2-40B4-BE49-F238E27FC236}">
                  <a16:creationId xmlns:a16="http://schemas.microsoft.com/office/drawing/2014/main" id="{00000000-0008-0000-0700-0000C0000000}"/>
                </a:ext>
              </a:extLst>
            </xdr:cNvPr>
            <xdr:cNvSpPr>
              <a:spLocks noChangeShapeType="1"/>
            </xdr:cNvSpPr>
          </xdr:nvSpPr>
          <xdr:spPr bwMode="auto">
            <a:xfrm rot="10800000" flipV="1">
              <a:off x="29299" y="8235"/>
              <a:ext cx="0" cy="5108"/>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3" name="Straight Connector 10">
              <a:extLst>
                <a:ext uri="{FF2B5EF4-FFF2-40B4-BE49-F238E27FC236}">
                  <a16:creationId xmlns:a16="http://schemas.microsoft.com/office/drawing/2014/main" id="{00000000-0008-0000-0700-0000C1000000}"/>
                </a:ext>
              </a:extLst>
            </xdr:cNvPr>
            <xdr:cNvSpPr>
              <a:spLocks noChangeShapeType="1"/>
            </xdr:cNvSpPr>
          </xdr:nvSpPr>
          <xdr:spPr bwMode="auto">
            <a:xfrm rot="10800000" flipV="1">
              <a:off x="27775" y="8235"/>
              <a:ext cx="0" cy="5108"/>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4" name="Straight Connector 11">
              <a:extLst>
                <a:ext uri="{FF2B5EF4-FFF2-40B4-BE49-F238E27FC236}">
                  <a16:creationId xmlns:a16="http://schemas.microsoft.com/office/drawing/2014/main" id="{00000000-0008-0000-0700-0000C2000000}"/>
                </a:ext>
              </a:extLst>
            </xdr:cNvPr>
            <xdr:cNvSpPr>
              <a:spLocks noChangeShapeType="1"/>
            </xdr:cNvSpPr>
          </xdr:nvSpPr>
          <xdr:spPr bwMode="auto">
            <a:xfrm rot="10800000" flipV="1">
              <a:off x="26251" y="8235"/>
              <a:ext cx="0" cy="5108"/>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5" name="Straight Connector 12">
              <a:extLst>
                <a:ext uri="{FF2B5EF4-FFF2-40B4-BE49-F238E27FC236}">
                  <a16:creationId xmlns:a16="http://schemas.microsoft.com/office/drawing/2014/main" id="{00000000-0008-0000-0700-0000C3000000}"/>
                </a:ext>
              </a:extLst>
            </xdr:cNvPr>
            <xdr:cNvSpPr>
              <a:spLocks noChangeShapeType="1"/>
            </xdr:cNvSpPr>
          </xdr:nvSpPr>
          <xdr:spPr bwMode="auto">
            <a:xfrm rot="10800000" flipV="1">
              <a:off x="24727" y="8235"/>
              <a:ext cx="0" cy="5108"/>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6" name="Straight Connector 13">
              <a:extLst>
                <a:ext uri="{FF2B5EF4-FFF2-40B4-BE49-F238E27FC236}">
                  <a16:creationId xmlns:a16="http://schemas.microsoft.com/office/drawing/2014/main" id="{00000000-0008-0000-0700-0000C4000000}"/>
                </a:ext>
              </a:extLst>
            </xdr:cNvPr>
            <xdr:cNvSpPr>
              <a:spLocks noChangeShapeType="1"/>
            </xdr:cNvSpPr>
          </xdr:nvSpPr>
          <xdr:spPr bwMode="auto">
            <a:xfrm rot="10800000" flipV="1">
              <a:off x="23203" y="8235"/>
              <a:ext cx="0" cy="5108"/>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7" name="Straight Connector 14">
              <a:extLst>
                <a:ext uri="{FF2B5EF4-FFF2-40B4-BE49-F238E27FC236}">
                  <a16:creationId xmlns:a16="http://schemas.microsoft.com/office/drawing/2014/main" id="{00000000-0008-0000-0700-0000C5000000}"/>
                </a:ext>
              </a:extLst>
            </xdr:cNvPr>
            <xdr:cNvSpPr>
              <a:spLocks noChangeShapeType="1"/>
            </xdr:cNvSpPr>
          </xdr:nvSpPr>
          <xdr:spPr bwMode="auto">
            <a:xfrm rot="10800000" flipV="1">
              <a:off x="21679" y="8235"/>
              <a:ext cx="0" cy="5108"/>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8" name="Straight Connector 15">
              <a:extLst>
                <a:ext uri="{FF2B5EF4-FFF2-40B4-BE49-F238E27FC236}">
                  <a16:creationId xmlns:a16="http://schemas.microsoft.com/office/drawing/2014/main" id="{00000000-0008-0000-0700-0000C6000000}"/>
                </a:ext>
              </a:extLst>
            </xdr:cNvPr>
            <xdr:cNvSpPr>
              <a:spLocks noChangeShapeType="1"/>
            </xdr:cNvSpPr>
          </xdr:nvSpPr>
          <xdr:spPr bwMode="auto">
            <a:xfrm rot="10800000" flipV="1">
              <a:off x="20155" y="8235"/>
              <a:ext cx="0" cy="5108"/>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9" name="Straight Connector 16">
              <a:extLst>
                <a:ext uri="{FF2B5EF4-FFF2-40B4-BE49-F238E27FC236}">
                  <a16:creationId xmlns:a16="http://schemas.microsoft.com/office/drawing/2014/main" id="{00000000-0008-0000-0700-0000C7000000}"/>
                </a:ext>
              </a:extLst>
            </xdr:cNvPr>
            <xdr:cNvSpPr>
              <a:spLocks noChangeShapeType="1"/>
            </xdr:cNvSpPr>
          </xdr:nvSpPr>
          <xdr:spPr bwMode="auto">
            <a:xfrm rot="10800000" flipV="1">
              <a:off x="18631" y="8251"/>
              <a:ext cx="0" cy="5108"/>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200" name="Straight Connector 17">
              <a:extLst>
                <a:ext uri="{FF2B5EF4-FFF2-40B4-BE49-F238E27FC236}">
                  <a16:creationId xmlns:a16="http://schemas.microsoft.com/office/drawing/2014/main" id="{00000000-0008-0000-0700-0000C8000000}"/>
                </a:ext>
              </a:extLst>
            </xdr:cNvPr>
            <xdr:cNvSpPr>
              <a:spLocks noChangeShapeType="1"/>
            </xdr:cNvSpPr>
          </xdr:nvSpPr>
          <xdr:spPr bwMode="auto">
            <a:xfrm rot="10800000" flipV="1">
              <a:off x="17107" y="8251"/>
              <a:ext cx="0" cy="5108"/>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201" name="Straight Connector 18">
              <a:extLst>
                <a:ext uri="{FF2B5EF4-FFF2-40B4-BE49-F238E27FC236}">
                  <a16:creationId xmlns:a16="http://schemas.microsoft.com/office/drawing/2014/main" id="{00000000-0008-0000-0700-0000C9000000}"/>
                </a:ext>
              </a:extLst>
            </xdr:cNvPr>
            <xdr:cNvSpPr>
              <a:spLocks noChangeShapeType="1"/>
            </xdr:cNvSpPr>
          </xdr:nvSpPr>
          <xdr:spPr bwMode="auto">
            <a:xfrm rot="10800000" flipV="1">
              <a:off x="15583" y="8251"/>
              <a:ext cx="0" cy="5108"/>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202" name="Straight Connector 19">
              <a:extLst>
                <a:ext uri="{FF2B5EF4-FFF2-40B4-BE49-F238E27FC236}">
                  <a16:creationId xmlns:a16="http://schemas.microsoft.com/office/drawing/2014/main" id="{00000000-0008-0000-0700-0000CA000000}"/>
                </a:ext>
              </a:extLst>
            </xdr:cNvPr>
            <xdr:cNvSpPr>
              <a:spLocks noChangeShapeType="1"/>
            </xdr:cNvSpPr>
          </xdr:nvSpPr>
          <xdr:spPr bwMode="auto">
            <a:xfrm rot="10800000" flipV="1">
              <a:off x="14059" y="8251"/>
              <a:ext cx="0" cy="5108"/>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203" name="Straight Connector 20">
              <a:extLst>
                <a:ext uri="{FF2B5EF4-FFF2-40B4-BE49-F238E27FC236}">
                  <a16:creationId xmlns:a16="http://schemas.microsoft.com/office/drawing/2014/main" id="{00000000-0008-0000-0700-0000CB000000}"/>
                </a:ext>
              </a:extLst>
            </xdr:cNvPr>
            <xdr:cNvSpPr>
              <a:spLocks noChangeShapeType="1"/>
            </xdr:cNvSpPr>
          </xdr:nvSpPr>
          <xdr:spPr bwMode="auto">
            <a:xfrm rot="10800000" flipV="1">
              <a:off x="12535" y="8251"/>
              <a:ext cx="0" cy="5108"/>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204" name="Straight Connector 21">
              <a:extLst>
                <a:ext uri="{FF2B5EF4-FFF2-40B4-BE49-F238E27FC236}">
                  <a16:creationId xmlns:a16="http://schemas.microsoft.com/office/drawing/2014/main" id="{00000000-0008-0000-0700-0000CC000000}"/>
                </a:ext>
              </a:extLst>
            </xdr:cNvPr>
            <xdr:cNvSpPr>
              <a:spLocks noChangeShapeType="1"/>
            </xdr:cNvSpPr>
          </xdr:nvSpPr>
          <xdr:spPr bwMode="auto">
            <a:xfrm rot="10800000" flipV="1">
              <a:off x="11011" y="8251"/>
              <a:ext cx="0" cy="5108"/>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205" name="Straight Connector 22">
              <a:extLst>
                <a:ext uri="{FF2B5EF4-FFF2-40B4-BE49-F238E27FC236}">
                  <a16:creationId xmlns:a16="http://schemas.microsoft.com/office/drawing/2014/main" id="{00000000-0008-0000-0700-0000CD000000}"/>
                </a:ext>
              </a:extLst>
            </xdr:cNvPr>
            <xdr:cNvSpPr>
              <a:spLocks noChangeShapeType="1"/>
            </xdr:cNvSpPr>
          </xdr:nvSpPr>
          <xdr:spPr bwMode="auto">
            <a:xfrm rot="10800000" flipV="1">
              <a:off x="9487" y="8251"/>
              <a:ext cx="0" cy="5108"/>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86" name="Rectangle 3">
            <a:extLst>
              <a:ext uri="{FF2B5EF4-FFF2-40B4-BE49-F238E27FC236}">
                <a16:creationId xmlns:a16="http://schemas.microsoft.com/office/drawing/2014/main" id="{00000000-0008-0000-0700-0000BA000000}"/>
              </a:ext>
            </a:extLst>
          </xdr:cNvPr>
          <xdr:cNvSpPr>
            <a:spLocks noChangeArrowheads="1"/>
          </xdr:cNvSpPr>
        </xdr:nvSpPr>
        <xdr:spPr bwMode="auto">
          <a:xfrm rot="-5400000">
            <a:off x="17008" y="3855"/>
            <a:ext cx="1098" cy="6167"/>
          </a:xfrm>
          <a:prstGeom prst="rect">
            <a:avLst/>
          </a:prstGeom>
          <a:solidFill>
            <a:srgbClr val="FFFFFF"/>
          </a:solidFill>
          <a:ln>
            <a:noFill/>
          </a:ln>
          <a:extLst>
            <a:ext uri="{91240B29-F687-4F45-9708-019B960494DF}">
              <a14:hiddenLine xmlns:a14="http://schemas.microsoft.com/office/drawing/2010/main" w="25400">
                <a:solidFill>
                  <a:srgbClr val="000000"/>
                </a:solidFill>
                <a:miter lim="800000"/>
                <a:headEnd/>
                <a:tailEnd/>
              </a14:hiddenLine>
            </a:ext>
          </a:extLst>
        </xdr:spPr>
      </xdr:sp>
    </xdr:grpSp>
    <xdr:clientData/>
  </xdr:twoCellAnchor>
  <xdr:twoCellAnchor>
    <xdr:from>
      <xdr:col>3</xdr:col>
      <xdr:colOff>838203</xdr:colOff>
      <xdr:row>165</xdr:row>
      <xdr:rowOff>45356</xdr:rowOff>
    </xdr:from>
    <xdr:to>
      <xdr:col>3</xdr:col>
      <xdr:colOff>952501</xdr:colOff>
      <xdr:row>166</xdr:row>
      <xdr:rowOff>57148</xdr:rowOff>
    </xdr:to>
    <xdr:sp macro="" textlink="">
      <xdr:nvSpPr>
        <xdr:cNvPr id="241" name="Arc 71">
          <a:extLst>
            <a:ext uri="{FF2B5EF4-FFF2-40B4-BE49-F238E27FC236}">
              <a16:creationId xmlns:a16="http://schemas.microsoft.com/office/drawing/2014/main" id="{00000000-0008-0000-0700-0000F1000000}"/>
            </a:ext>
          </a:extLst>
        </xdr:cNvPr>
        <xdr:cNvSpPr>
          <a:spLocks/>
        </xdr:cNvSpPr>
      </xdr:nvSpPr>
      <xdr:spPr bwMode="auto">
        <a:xfrm rot="16200000">
          <a:off x="2662920" y="75046567"/>
          <a:ext cx="202292" cy="114298"/>
        </a:xfrm>
        <a:custGeom>
          <a:avLst/>
          <a:gdLst>
            <a:gd name="G0" fmla="+- 1341 0 0"/>
            <a:gd name="G1" fmla="+- 21600 0 0"/>
            <a:gd name="G2" fmla="+- 21600 0 0"/>
            <a:gd name="T0" fmla="*/ 0 w 22941"/>
            <a:gd name="T1" fmla="*/ 42 h 23764"/>
            <a:gd name="T2" fmla="*/ 22832 w 22941"/>
            <a:gd name="T3" fmla="*/ 23764 h 23764"/>
            <a:gd name="T4" fmla="*/ 1341 w 22941"/>
            <a:gd name="T5" fmla="*/ 21600 h 23764"/>
          </a:gdLst>
          <a:ahLst/>
          <a:cxnLst>
            <a:cxn ang="0">
              <a:pos x="T0" y="T1"/>
            </a:cxn>
            <a:cxn ang="0">
              <a:pos x="T2" y="T3"/>
            </a:cxn>
            <a:cxn ang="0">
              <a:pos x="T4" y="T5"/>
            </a:cxn>
          </a:cxnLst>
          <a:rect l="0" t="0" r="r" b="b"/>
          <a:pathLst>
            <a:path w="22941" h="23764" fill="none" extrusionOk="0">
              <a:moveTo>
                <a:pt x="-1" y="41"/>
              </a:moveTo>
              <a:cubicBezTo>
                <a:pt x="446" y="13"/>
                <a:pt x="893" y="0"/>
                <a:pt x="1341" y="0"/>
              </a:cubicBezTo>
              <a:cubicBezTo>
                <a:pt x="13270" y="0"/>
                <a:pt x="22941" y="9670"/>
                <a:pt x="22941" y="21600"/>
              </a:cubicBezTo>
              <a:cubicBezTo>
                <a:pt x="22941" y="22322"/>
                <a:pt x="22904" y="23044"/>
                <a:pt x="22832" y="23764"/>
              </a:cubicBezTo>
            </a:path>
            <a:path w="22941" h="23764" stroke="0" extrusionOk="0">
              <a:moveTo>
                <a:pt x="-1" y="41"/>
              </a:moveTo>
              <a:cubicBezTo>
                <a:pt x="446" y="13"/>
                <a:pt x="893" y="0"/>
                <a:pt x="1341" y="0"/>
              </a:cubicBezTo>
              <a:cubicBezTo>
                <a:pt x="13270" y="0"/>
                <a:pt x="22941" y="9670"/>
                <a:pt x="22941" y="21600"/>
              </a:cubicBezTo>
              <a:cubicBezTo>
                <a:pt x="22941" y="22322"/>
                <a:pt x="22904" y="23044"/>
                <a:pt x="22832" y="23764"/>
              </a:cubicBezTo>
              <a:lnTo>
                <a:pt x="1341" y="21600"/>
              </a:lnTo>
              <a:close/>
            </a:path>
          </a:pathLst>
        </a:custGeom>
        <a:noFill/>
        <a:ln w="9525">
          <a:solidFill>
            <a:srgbClr val="000000"/>
          </a:solidFill>
          <a:round/>
          <a:headEnd type="none" w="sm" len="sm"/>
          <a:tailEnd type="triangle" w="sm" len="sm"/>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571500</xdr:colOff>
      <xdr:row>165</xdr:row>
      <xdr:rowOff>9525</xdr:rowOff>
    </xdr:from>
    <xdr:to>
      <xdr:col>3</xdr:col>
      <xdr:colOff>946404</xdr:colOff>
      <xdr:row>165</xdr:row>
      <xdr:rowOff>9525</xdr:rowOff>
    </xdr:to>
    <xdr:sp macro="" textlink="">
      <xdr:nvSpPr>
        <xdr:cNvPr id="242" name="AutoShape 70">
          <a:extLst>
            <a:ext uri="{FF2B5EF4-FFF2-40B4-BE49-F238E27FC236}">
              <a16:creationId xmlns:a16="http://schemas.microsoft.com/office/drawing/2014/main" id="{00000000-0008-0000-0700-0000F2000000}"/>
            </a:ext>
          </a:extLst>
        </xdr:cNvPr>
        <xdr:cNvSpPr>
          <a:spLocks noChangeShapeType="1"/>
        </xdr:cNvSpPr>
      </xdr:nvSpPr>
      <xdr:spPr bwMode="auto">
        <a:xfrm flipH="1">
          <a:off x="2440214" y="74966739"/>
          <a:ext cx="374904" cy="0"/>
        </a:xfrm>
        <a:prstGeom prst="straightConnector1">
          <a:avLst/>
        </a:prstGeom>
        <a:noFill/>
        <a:ln w="9525">
          <a:solidFill>
            <a:srgbClr val="000000"/>
          </a:solidFill>
          <a:round/>
          <a:headEnd type="triangle" w="sm" len="sm"/>
          <a:tailEnd type="none" w="sm" len="sm"/>
        </a:ln>
        <a:extLst>
          <a:ext uri="{909E8E84-426E-40DD-AFC4-6F175D3DCCD1}">
            <a14:hiddenFill xmlns:a14="http://schemas.microsoft.com/office/drawing/2010/main">
              <a:noFill/>
            </a14:hiddenFill>
          </a:ext>
        </a:extLst>
      </xdr:spPr>
    </xdr:sp>
    <xdr:clientData/>
  </xdr:twoCellAnchor>
  <xdr:twoCellAnchor>
    <xdr:from>
      <xdr:col>3</xdr:col>
      <xdr:colOff>647699</xdr:colOff>
      <xdr:row>162</xdr:row>
      <xdr:rowOff>142875</xdr:rowOff>
    </xdr:from>
    <xdr:to>
      <xdr:col>3</xdr:col>
      <xdr:colOff>943429</xdr:colOff>
      <xdr:row>164</xdr:row>
      <xdr:rowOff>154215</xdr:rowOff>
    </xdr:to>
    <xdr:sp macro="" textlink="">
      <xdr:nvSpPr>
        <xdr:cNvPr id="243" name="Arc 69">
          <a:extLst>
            <a:ext uri="{FF2B5EF4-FFF2-40B4-BE49-F238E27FC236}">
              <a16:creationId xmlns:a16="http://schemas.microsoft.com/office/drawing/2014/main" id="{00000000-0008-0000-0700-0000F3000000}"/>
            </a:ext>
          </a:extLst>
        </xdr:cNvPr>
        <xdr:cNvSpPr>
          <a:spLocks/>
        </xdr:cNvSpPr>
      </xdr:nvSpPr>
      <xdr:spPr bwMode="auto">
        <a:xfrm rot="10800000">
          <a:off x="2516413" y="74528589"/>
          <a:ext cx="295730" cy="392340"/>
        </a:xfrm>
        <a:custGeom>
          <a:avLst/>
          <a:gdLst>
            <a:gd name="G0" fmla="+- 1341 0 0"/>
            <a:gd name="G1" fmla="+- 21600 0 0"/>
            <a:gd name="G2" fmla="+- 21600 0 0"/>
            <a:gd name="T0" fmla="*/ 0 w 22941"/>
            <a:gd name="T1" fmla="*/ 42 h 23199"/>
            <a:gd name="T2" fmla="*/ 22882 w 22941"/>
            <a:gd name="T3" fmla="*/ 23199 h 23199"/>
            <a:gd name="T4" fmla="*/ 1341 w 22941"/>
            <a:gd name="T5" fmla="*/ 21600 h 23199"/>
          </a:gdLst>
          <a:ahLst/>
          <a:cxnLst>
            <a:cxn ang="0">
              <a:pos x="T0" y="T1"/>
            </a:cxn>
            <a:cxn ang="0">
              <a:pos x="T2" y="T3"/>
            </a:cxn>
            <a:cxn ang="0">
              <a:pos x="T4" y="T5"/>
            </a:cxn>
          </a:cxnLst>
          <a:rect l="0" t="0" r="r" b="b"/>
          <a:pathLst>
            <a:path w="22941" h="23199" fill="none" extrusionOk="0">
              <a:moveTo>
                <a:pt x="-1" y="41"/>
              </a:moveTo>
              <a:cubicBezTo>
                <a:pt x="446" y="13"/>
                <a:pt x="893" y="0"/>
                <a:pt x="1341" y="0"/>
              </a:cubicBezTo>
              <a:cubicBezTo>
                <a:pt x="13270" y="0"/>
                <a:pt x="22941" y="9670"/>
                <a:pt x="22941" y="21600"/>
              </a:cubicBezTo>
              <a:cubicBezTo>
                <a:pt x="22941" y="22133"/>
                <a:pt x="22921" y="22666"/>
                <a:pt x="22881" y="23198"/>
              </a:cubicBezTo>
            </a:path>
            <a:path w="22941" h="23199" stroke="0" extrusionOk="0">
              <a:moveTo>
                <a:pt x="-1" y="41"/>
              </a:moveTo>
              <a:cubicBezTo>
                <a:pt x="446" y="13"/>
                <a:pt x="893" y="0"/>
                <a:pt x="1341" y="0"/>
              </a:cubicBezTo>
              <a:cubicBezTo>
                <a:pt x="13270" y="0"/>
                <a:pt x="22941" y="9670"/>
                <a:pt x="22941" y="21600"/>
              </a:cubicBezTo>
              <a:cubicBezTo>
                <a:pt x="22941" y="22133"/>
                <a:pt x="22921" y="22666"/>
                <a:pt x="22881" y="23198"/>
              </a:cubicBezTo>
              <a:lnTo>
                <a:pt x="1341" y="21600"/>
              </a:lnTo>
              <a:close/>
            </a:path>
          </a:pathLst>
        </a:custGeom>
        <a:noFill/>
        <a:ln w="9525">
          <a:solidFill>
            <a:srgbClr val="000000"/>
          </a:solidFill>
          <a:round/>
          <a:headEnd type="triangle" w="sm" len="sm"/>
          <a:tailEnd type="none" w="sm" len="sm"/>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868363</xdr:colOff>
      <xdr:row>181</xdr:row>
      <xdr:rowOff>139412</xdr:rowOff>
    </xdr:from>
    <xdr:to>
      <xdr:col>3</xdr:col>
      <xdr:colOff>868363</xdr:colOff>
      <xdr:row>185</xdr:row>
      <xdr:rowOff>101312</xdr:rowOff>
    </xdr:to>
    <xdr:sp macro="" textlink="">
      <xdr:nvSpPr>
        <xdr:cNvPr id="244" name="AutoShape 11">
          <a:extLst>
            <a:ext uri="{FF2B5EF4-FFF2-40B4-BE49-F238E27FC236}">
              <a16:creationId xmlns:a16="http://schemas.microsoft.com/office/drawing/2014/main" id="{00000000-0008-0000-0700-0000F4000000}"/>
            </a:ext>
          </a:extLst>
        </xdr:cNvPr>
        <xdr:cNvSpPr>
          <a:spLocks noChangeShapeType="1"/>
        </xdr:cNvSpPr>
      </xdr:nvSpPr>
      <xdr:spPr bwMode="auto">
        <a:xfrm flipV="1">
          <a:off x="2439988" y="59607162"/>
          <a:ext cx="0" cy="723900"/>
        </a:xfrm>
        <a:prstGeom prst="straightConnector1">
          <a:avLst/>
        </a:prstGeom>
        <a:noFill/>
        <a:ln w="9525">
          <a:solidFill>
            <a:srgbClr val="000000"/>
          </a:solidFill>
          <a:round/>
          <a:headEnd type="none" w="sm" len="sm"/>
          <a:tailEnd type="triangle" w="sm" len="sm"/>
        </a:ln>
        <a:extLst>
          <a:ext uri="{909E8E84-426E-40DD-AFC4-6F175D3DCCD1}">
            <a14:hiddenFill xmlns:a14="http://schemas.microsoft.com/office/drawing/2010/main">
              <a:noFill/>
            </a14:hiddenFill>
          </a:ext>
        </a:extLst>
      </xdr:spPr>
    </xdr:sp>
    <xdr:clientData/>
  </xdr:twoCellAnchor>
  <xdr:twoCellAnchor>
    <xdr:from>
      <xdr:col>3</xdr:col>
      <xdr:colOff>468312</xdr:colOff>
      <xdr:row>182</xdr:row>
      <xdr:rowOff>27713</xdr:rowOff>
    </xdr:from>
    <xdr:to>
      <xdr:col>3</xdr:col>
      <xdr:colOff>822469</xdr:colOff>
      <xdr:row>184</xdr:row>
      <xdr:rowOff>106510</xdr:rowOff>
    </xdr:to>
    <xdr:sp macro="" textlink="">
      <xdr:nvSpPr>
        <xdr:cNvPr id="245" name="Arc 10">
          <a:extLst>
            <a:ext uri="{FF2B5EF4-FFF2-40B4-BE49-F238E27FC236}">
              <a16:creationId xmlns:a16="http://schemas.microsoft.com/office/drawing/2014/main" id="{00000000-0008-0000-0700-0000F5000000}"/>
            </a:ext>
          </a:extLst>
        </xdr:cNvPr>
        <xdr:cNvSpPr>
          <a:spLocks/>
        </xdr:cNvSpPr>
      </xdr:nvSpPr>
      <xdr:spPr bwMode="auto">
        <a:xfrm rot="5400000">
          <a:off x="1987117" y="59738783"/>
          <a:ext cx="459797" cy="354157"/>
        </a:xfrm>
        <a:custGeom>
          <a:avLst/>
          <a:gdLst>
            <a:gd name="G0" fmla="+- 1341 0 0"/>
            <a:gd name="G1" fmla="+- 21600 0 0"/>
            <a:gd name="G2" fmla="+- 21600 0 0"/>
            <a:gd name="T0" fmla="*/ 0 w 22941"/>
            <a:gd name="T1" fmla="*/ 42 h 23199"/>
            <a:gd name="T2" fmla="*/ 22882 w 22941"/>
            <a:gd name="T3" fmla="*/ 23199 h 23199"/>
            <a:gd name="T4" fmla="*/ 1341 w 22941"/>
            <a:gd name="T5" fmla="*/ 21600 h 23199"/>
          </a:gdLst>
          <a:ahLst/>
          <a:cxnLst>
            <a:cxn ang="0">
              <a:pos x="T0" y="T1"/>
            </a:cxn>
            <a:cxn ang="0">
              <a:pos x="T2" y="T3"/>
            </a:cxn>
            <a:cxn ang="0">
              <a:pos x="T4" y="T5"/>
            </a:cxn>
          </a:cxnLst>
          <a:rect l="0" t="0" r="r" b="b"/>
          <a:pathLst>
            <a:path w="22941" h="23199" fill="none" extrusionOk="0">
              <a:moveTo>
                <a:pt x="-1" y="41"/>
              </a:moveTo>
              <a:cubicBezTo>
                <a:pt x="446" y="13"/>
                <a:pt x="893" y="0"/>
                <a:pt x="1341" y="0"/>
              </a:cubicBezTo>
              <a:cubicBezTo>
                <a:pt x="13270" y="0"/>
                <a:pt x="22941" y="9670"/>
                <a:pt x="22941" y="21600"/>
              </a:cubicBezTo>
              <a:cubicBezTo>
                <a:pt x="22941" y="22133"/>
                <a:pt x="22921" y="22666"/>
                <a:pt x="22881" y="23198"/>
              </a:cubicBezTo>
            </a:path>
            <a:path w="22941" h="23199" stroke="0" extrusionOk="0">
              <a:moveTo>
                <a:pt x="-1" y="41"/>
              </a:moveTo>
              <a:cubicBezTo>
                <a:pt x="446" y="13"/>
                <a:pt x="893" y="0"/>
                <a:pt x="1341" y="0"/>
              </a:cubicBezTo>
              <a:cubicBezTo>
                <a:pt x="13270" y="0"/>
                <a:pt x="22941" y="9670"/>
                <a:pt x="22941" y="21600"/>
              </a:cubicBezTo>
              <a:cubicBezTo>
                <a:pt x="22941" y="22133"/>
                <a:pt x="22921" y="22666"/>
                <a:pt x="22881" y="23198"/>
              </a:cubicBezTo>
              <a:lnTo>
                <a:pt x="1341" y="21600"/>
              </a:lnTo>
              <a:close/>
            </a:path>
          </a:pathLst>
        </a:custGeom>
        <a:noFill/>
        <a:ln w="9525">
          <a:solidFill>
            <a:srgbClr val="000000"/>
          </a:solidFill>
          <a:round/>
          <a:headEnd type="triangle" w="sm" len="sm"/>
          <a:tailEnd type="none" w="sm" len="sm"/>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658091</xdr:colOff>
      <xdr:row>181</xdr:row>
      <xdr:rowOff>150814</xdr:rowOff>
    </xdr:from>
    <xdr:to>
      <xdr:col>3</xdr:col>
      <xdr:colOff>658091</xdr:colOff>
      <xdr:row>183</xdr:row>
      <xdr:rowOff>150814</xdr:rowOff>
    </xdr:to>
    <xdr:sp macro="" textlink="">
      <xdr:nvSpPr>
        <xdr:cNvPr id="246" name="AutoShape 9">
          <a:extLst>
            <a:ext uri="{FF2B5EF4-FFF2-40B4-BE49-F238E27FC236}">
              <a16:creationId xmlns:a16="http://schemas.microsoft.com/office/drawing/2014/main" id="{00000000-0008-0000-0700-0000F6000000}"/>
            </a:ext>
          </a:extLst>
        </xdr:cNvPr>
        <xdr:cNvSpPr>
          <a:spLocks noChangeShapeType="1"/>
        </xdr:cNvSpPr>
      </xdr:nvSpPr>
      <xdr:spPr bwMode="auto">
        <a:xfrm flipV="1">
          <a:off x="2229716" y="59618564"/>
          <a:ext cx="0" cy="381000"/>
        </a:xfrm>
        <a:prstGeom prst="straightConnector1">
          <a:avLst/>
        </a:prstGeom>
        <a:noFill/>
        <a:ln w="9525">
          <a:solidFill>
            <a:srgbClr val="000000"/>
          </a:solidFill>
          <a:round/>
          <a:headEnd type="triangle" w="sm" len="sm"/>
          <a:tailEnd type="none" w="sm" len="sm"/>
        </a:ln>
        <a:extLst>
          <a:ext uri="{909E8E84-426E-40DD-AFC4-6F175D3DCCD1}">
            <a14:hiddenFill xmlns:a14="http://schemas.microsoft.com/office/drawing/2010/main">
              <a:noFill/>
            </a14:hiddenFill>
          </a:ext>
        </a:extLst>
      </xdr:spPr>
    </xdr:sp>
    <xdr:clientData/>
  </xdr:twoCellAnchor>
  <xdr:twoCellAnchor>
    <xdr:from>
      <xdr:col>1</xdr:col>
      <xdr:colOff>200025</xdr:colOff>
      <xdr:row>78</xdr:row>
      <xdr:rowOff>95250</xdr:rowOff>
    </xdr:from>
    <xdr:to>
      <xdr:col>3</xdr:col>
      <xdr:colOff>2171700</xdr:colOff>
      <xdr:row>79</xdr:row>
      <xdr:rowOff>352425</xdr:rowOff>
    </xdr:to>
    <xdr:sp macro="" textlink="">
      <xdr:nvSpPr>
        <xdr:cNvPr id="6" name="TextBox 5">
          <a:extLst>
            <a:ext uri="{FF2B5EF4-FFF2-40B4-BE49-F238E27FC236}">
              <a16:creationId xmlns:a16="http://schemas.microsoft.com/office/drawing/2014/main" id="{00000000-0008-0000-0700-000006000000}"/>
            </a:ext>
          </a:extLst>
        </xdr:cNvPr>
        <xdr:cNvSpPr txBox="1"/>
      </xdr:nvSpPr>
      <xdr:spPr>
        <a:xfrm>
          <a:off x="628650" y="30746700"/>
          <a:ext cx="3543300" cy="4476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b="1" i="0" u="none" strike="noStrike">
              <a:solidFill>
                <a:srgbClr val="000000"/>
              </a:solidFill>
              <a:latin typeface="+mn-lt"/>
            </a:rPr>
            <a:t>Figure 1: Acceleration over time over a fixed distance on level surface (TXDOT)</a:t>
          </a:r>
        </a:p>
      </xdr:txBody>
    </xdr:sp>
    <xdr:clientData/>
  </xdr:twoCellAnchor>
  <xdr:twoCellAnchor>
    <xdr:from>
      <xdr:col>3</xdr:col>
      <xdr:colOff>2552700</xdr:colOff>
      <xdr:row>78</xdr:row>
      <xdr:rowOff>76200</xdr:rowOff>
    </xdr:from>
    <xdr:to>
      <xdr:col>3</xdr:col>
      <xdr:colOff>6486526</xdr:colOff>
      <xdr:row>79</xdr:row>
      <xdr:rowOff>390525</xdr:rowOff>
    </xdr:to>
    <xdr:sp macro="" textlink="">
      <xdr:nvSpPr>
        <xdr:cNvPr id="252" name="TextBox 251">
          <a:extLst>
            <a:ext uri="{FF2B5EF4-FFF2-40B4-BE49-F238E27FC236}">
              <a16:creationId xmlns:a16="http://schemas.microsoft.com/office/drawing/2014/main" id="{00000000-0008-0000-0700-0000FC000000}"/>
            </a:ext>
          </a:extLst>
        </xdr:cNvPr>
        <xdr:cNvSpPr txBox="1"/>
      </xdr:nvSpPr>
      <xdr:spPr>
        <a:xfrm>
          <a:off x="4552950" y="30727650"/>
          <a:ext cx="3933826" cy="504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b="1" i="0" u="none" strike="noStrike">
              <a:solidFill>
                <a:srgbClr val="000000"/>
              </a:solidFill>
              <a:latin typeface="+mn-lt"/>
            </a:rPr>
            <a:t>Figure 3: Parameter to estimate the acceleration times over distances greater than 400 ft using Figure 2 (TXDOT)</a:t>
          </a:r>
        </a:p>
      </xdr:txBody>
    </xdr:sp>
    <xdr:clientData/>
  </xdr:twoCellAnchor>
  <xdr:twoCellAnchor>
    <xdr:from>
      <xdr:col>3</xdr:col>
      <xdr:colOff>2752725</xdr:colOff>
      <xdr:row>64</xdr:row>
      <xdr:rowOff>133351</xdr:rowOff>
    </xdr:from>
    <xdr:to>
      <xdr:col>4</xdr:col>
      <xdr:colOff>114301</xdr:colOff>
      <xdr:row>66</xdr:row>
      <xdr:rowOff>1</xdr:rowOff>
    </xdr:to>
    <xdr:sp macro="" textlink="">
      <xdr:nvSpPr>
        <xdr:cNvPr id="253" name="TextBox 252">
          <a:extLst>
            <a:ext uri="{FF2B5EF4-FFF2-40B4-BE49-F238E27FC236}">
              <a16:creationId xmlns:a16="http://schemas.microsoft.com/office/drawing/2014/main" id="{00000000-0008-0000-0700-0000FD000000}"/>
            </a:ext>
          </a:extLst>
        </xdr:cNvPr>
        <xdr:cNvSpPr txBox="1"/>
      </xdr:nvSpPr>
      <xdr:spPr>
        <a:xfrm>
          <a:off x="4752975" y="27927301"/>
          <a:ext cx="3933826" cy="438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b="1" i="0" u="none" strike="noStrike">
              <a:solidFill>
                <a:srgbClr val="000000"/>
              </a:solidFill>
              <a:latin typeface="+mn-lt"/>
            </a:rPr>
            <a:t>Figure 2: Equation for acceleration over time over a fixed distance greater than 400 feet (TXDOT)</a:t>
          </a:r>
        </a:p>
      </xdr:txBody>
    </xdr:sp>
    <xdr:clientData/>
  </xdr:twoCellAnchor>
  <xdr:twoCellAnchor>
    <xdr:from>
      <xdr:col>2</xdr:col>
      <xdr:colOff>142874</xdr:colOff>
      <xdr:row>97</xdr:row>
      <xdr:rowOff>38100</xdr:rowOff>
    </xdr:from>
    <xdr:to>
      <xdr:col>3</xdr:col>
      <xdr:colOff>4048124</xdr:colOff>
      <xdr:row>98</xdr:row>
      <xdr:rowOff>76200</xdr:rowOff>
    </xdr:to>
    <xdr:sp macro="" textlink="">
      <xdr:nvSpPr>
        <xdr:cNvPr id="254" name="TextBox 253">
          <a:extLst>
            <a:ext uri="{FF2B5EF4-FFF2-40B4-BE49-F238E27FC236}">
              <a16:creationId xmlns:a16="http://schemas.microsoft.com/office/drawing/2014/main" id="{00000000-0008-0000-0700-0000FE000000}"/>
            </a:ext>
          </a:extLst>
        </xdr:cNvPr>
        <xdr:cNvSpPr txBox="1"/>
      </xdr:nvSpPr>
      <xdr:spPr>
        <a:xfrm>
          <a:off x="1181099" y="35775900"/>
          <a:ext cx="4867275" cy="228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b="1" i="0" u="none" strike="noStrike">
              <a:solidFill>
                <a:srgbClr val="000000"/>
              </a:solidFill>
              <a:latin typeface="+mn-lt"/>
            </a:rPr>
            <a:t>Figure 4: Multipliers to account for slower acceleration on uphill grades (TXDOT)</a:t>
          </a:r>
        </a:p>
      </xdr:txBody>
    </xdr:sp>
    <xdr:clientData/>
  </xdr:twoCellAnchor>
  <xdr:twoCellAnchor>
    <xdr:from>
      <xdr:col>4</xdr:col>
      <xdr:colOff>21981</xdr:colOff>
      <xdr:row>25</xdr:row>
      <xdr:rowOff>43962</xdr:rowOff>
    </xdr:from>
    <xdr:to>
      <xdr:col>4</xdr:col>
      <xdr:colOff>431556</xdr:colOff>
      <xdr:row>25</xdr:row>
      <xdr:rowOff>329712</xdr:rowOff>
    </xdr:to>
    <xdr:sp macro="" textlink="">
      <xdr:nvSpPr>
        <xdr:cNvPr id="270" name="TextBox 269">
          <a:hlinkClick xmlns:r="http://schemas.openxmlformats.org/officeDocument/2006/relationships" r:id="rId6"/>
          <a:extLst>
            <a:ext uri="{FF2B5EF4-FFF2-40B4-BE49-F238E27FC236}">
              <a16:creationId xmlns:a16="http://schemas.microsoft.com/office/drawing/2014/main" id="{00000000-0008-0000-0700-00000E010000}"/>
            </a:ext>
          </a:extLst>
        </xdr:cNvPr>
        <xdr:cNvSpPr txBox="1"/>
      </xdr:nvSpPr>
      <xdr:spPr>
        <a:xfrm>
          <a:off x="8323385" y="9261231"/>
          <a:ext cx="409575"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800" b="0" i="0" u="sng" strike="noStrike">
              <a:solidFill>
                <a:srgbClr val="0000FF"/>
              </a:solidFill>
              <a:latin typeface="Calibri"/>
            </a:rPr>
            <a:t>Back to Form</a:t>
          </a:r>
        </a:p>
      </xdr:txBody>
    </xdr:sp>
    <xdr:clientData/>
  </xdr:twoCellAnchor>
  <xdr:twoCellAnchor>
    <xdr:from>
      <xdr:col>4</xdr:col>
      <xdr:colOff>21981</xdr:colOff>
      <xdr:row>26</xdr:row>
      <xdr:rowOff>313593</xdr:rowOff>
    </xdr:from>
    <xdr:to>
      <xdr:col>4</xdr:col>
      <xdr:colOff>431556</xdr:colOff>
      <xdr:row>26</xdr:row>
      <xdr:rowOff>599343</xdr:rowOff>
    </xdr:to>
    <xdr:sp macro="" textlink="">
      <xdr:nvSpPr>
        <xdr:cNvPr id="271" name="TextBox 270">
          <a:hlinkClick xmlns:r="http://schemas.openxmlformats.org/officeDocument/2006/relationships" r:id="rId7"/>
          <a:extLst>
            <a:ext uri="{FF2B5EF4-FFF2-40B4-BE49-F238E27FC236}">
              <a16:creationId xmlns:a16="http://schemas.microsoft.com/office/drawing/2014/main" id="{00000000-0008-0000-0700-00000F010000}"/>
            </a:ext>
          </a:extLst>
        </xdr:cNvPr>
        <xdr:cNvSpPr txBox="1"/>
      </xdr:nvSpPr>
      <xdr:spPr>
        <a:xfrm>
          <a:off x="8323385" y="9911862"/>
          <a:ext cx="409575"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800" b="0" i="0" u="sng" strike="noStrike">
              <a:solidFill>
                <a:srgbClr val="0000FF"/>
              </a:solidFill>
              <a:latin typeface="Calibri"/>
            </a:rPr>
            <a:t>Back to Form</a:t>
          </a:r>
        </a:p>
      </xdr:txBody>
    </xdr:sp>
    <xdr:clientData/>
  </xdr:twoCellAnchor>
  <xdr:twoCellAnchor>
    <xdr:from>
      <xdr:col>4</xdr:col>
      <xdr:colOff>21981</xdr:colOff>
      <xdr:row>27</xdr:row>
      <xdr:rowOff>143609</xdr:rowOff>
    </xdr:from>
    <xdr:to>
      <xdr:col>4</xdr:col>
      <xdr:colOff>431556</xdr:colOff>
      <xdr:row>27</xdr:row>
      <xdr:rowOff>429359</xdr:rowOff>
    </xdr:to>
    <xdr:sp macro="" textlink="">
      <xdr:nvSpPr>
        <xdr:cNvPr id="272" name="TextBox 271">
          <a:hlinkClick xmlns:r="http://schemas.openxmlformats.org/officeDocument/2006/relationships" r:id="rId8"/>
          <a:extLst>
            <a:ext uri="{FF2B5EF4-FFF2-40B4-BE49-F238E27FC236}">
              <a16:creationId xmlns:a16="http://schemas.microsoft.com/office/drawing/2014/main" id="{00000000-0008-0000-0700-000010010000}"/>
            </a:ext>
          </a:extLst>
        </xdr:cNvPr>
        <xdr:cNvSpPr txBox="1"/>
      </xdr:nvSpPr>
      <xdr:spPr>
        <a:xfrm>
          <a:off x="8323385" y="10701705"/>
          <a:ext cx="40957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800" b="0" i="0" u="sng" strike="noStrike">
              <a:solidFill>
                <a:srgbClr val="0000FF"/>
              </a:solidFill>
              <a:latin typeface="Calibri"/>
            </a:rPr>
            <a:t>Back to Form</a:t>
          </a:r>
        </a:p>
      </xdr:txBody>
    </xdr:sp>
    <xdr:clientData/>
  </xdr:twoCellAnchor>
  <xdr:twoCellAnchor>
    <xdr:from>
      <xdr:col>4</xdr:col>
      <xdr:colOff>21981</xdr:colOff>
      <xdr:row>28</xdr:row>
      <xdr:rowOff>161192</xdr:rowOff>
    </xdr:from>
    <xdr:to>
      <xdr:col>4</xdr:col>
      <xdr:colOff>431556</xdr:colOff>
      <xdr:row>28</xdr:row>
      <xdr:rowOff>446942</xdr:rowOff>
    </xdr:to>
    <xdr:sp macro="" textlink="">
      <xdr:nvSpPr>
        <xdr:cNvPr id="273" name="TextBox 272">
          <a:hlinkClick xmlns:r="http://schemas.openxmlformats.org/officeDocument/2006/relationships" r:id="rId9"/>
          <a:extLst>
            <a:ext uri="{FF2B5EF4-FFF2-40B4-BE49-F238E27FC236}">
              <a16:creationId xmlns:a16="http://schemas.microsoft.com/office/drawing/2014/main" id="{00000000-0008-0000-0700-000011010000}"/>
            </a:ext>
          </a:extLst>
        </xdr:cNvPr>
        <xdr:cNvSpPr txBox="1"/>
      </xdr:nvSpPr>
      <xdr:spPr>
        <a:xfrm>
          <a:off x="8323385" y="11290788"/>
          <a:ext cx="40957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800" b="0" i="0" u="sng" strike="noStrike">
              <a:solidFill>
                <a:srgbClr val="0000FF"/>
              </a:solidFill>
              <a:latin typeface="Calibri"/>
            </a:rPr>
            <a:t>Back to Form</a:t>
          </a:r>
        </a:p>
      </xdr:txBody>
    </xdr:sp>
    <xdr:clientData/>
  </xdr:twoCellAnchor>
  <xdr:twoCellAnchor>
    <xdr:from>
      <xdr:col>4</xdr:col>
      <xdr:colOff>21981</xdr:colOff>
      <xdr:row>29</xdr:row>
      <xdr:rowOff>342899</xdr:rowOff>
    </xdr:from>
    <xdr:to>
      <xdr:col>4</xdr:col>
      <xdr:colOff>431556</xdr:colOff>
      <xdr:row>29</xdr:row>
      <xdr:rowOff>628649</xdr:rowOff>
    </xdr:to>
    <xdr:sp macro="" textlink="">
      <xdr:nvSpPr>
        <xdr:cNvPr id="274" name="TextBox 273">
          <a:hlinkClick xmlns:r="http://schemas.openxmlformats.org/officeDocument/2006/relationships" r:id="rId10"/>
          <a:extLst>
            <a:ext uri="{FF2B5EF4-FFF2-40B4-BE49-F238E27FC236}">
              <a16:creationId xmlns:a16="http://schemas.microsoft.com/office/drawing/2014/main" id="{00000000-0008-0000-0700-000012010000}"/>
            </a:ext>
          </a:extLst>
        </xdr:cNvPr>
        <xdr:cNvSpPr txBox="1"/>
      </xdr:nvSpPr>
      <xdr:spPr>
        <a:xfrm>
          <a:off x="8323385" y="12073303"/>
          <a:ext cx="40957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800" b="0" i="0" u="sng" strike="noStrike">
              <a:solidFill>
                <a:srgbClr val="0000FF"/>
              </a:solidFill>
              <a:latin typeface="Calibri"/>
            </a:rPr>
            <a:t>Back to Form</a:t>
          </a:r>
        </a:p>
      </xdr:txBody>
    </xdr:sp>
    <xdr:clientData/>
  </xdr:twoCellAnchor>
  <xdr:twoCellAnchor>
    <xdr:from>
      <xdr:col>4</xdr:col>
      <xdr:colOff>21981</xdr:colOff>
      <xdr:row>30</xdr:row>
      <xdr:rowOff>234461</xdr:rowOff>
    </xdr:from>
    <xdr:to>
      <xdr:col>4</xdr:col>
      <xdr:colOff>431556</xdr:colOff>
      <xdr:row>30</xdr:row>
      <xdr:rowOff>520211</xdr:rowOff>
    </xdr:to>
    <xdr:sp macro="" textlink="">
      <xdr:nvSpPr>
        <xdr:cNvPr id="275" name="TextBox 274">
          <a:hlinkClick xmlns:r="http://schemas.openxmlformats.org/officeDocument/2006/relationships" r:id="rId11"/>
          <a:extLst>
            <a:ext uri="{FF2B5EF4-FFF2-40B4-BE49-F238E27FC236}">
              <a16:creationId xmlns:a16="http://schemas.microsoft.com/office/drawing/2014/main" id="{00000000-0008-0000-0700-000013010000}"/>
            </a:ext>
          </a:extLst>
        </xdr:cNvPr>
        <xdr:cNvSpPr txBox="1"/>
      </xdr:nvSpPr>
      <xdr:spPr>
        <a:xfrm>
          <a:off x="8323385" y="13957788"/>
          <a:ext cx="40957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800" b="0" i="0" u="sng" strike="noStrike">
              <a:solidFill>
                <a:srgbClr val="0000FF"/>
              </a:solidFill>
              <a:latin typeface="Calibri"/>
            </a:rPr>
            <a:t>Back to Form</a:t>
          </a:r>
        </a:p>
      </xdr:txBody>
    </xdr:sp>
    <xdr:clientData/>
  </xdr:twoCellAnchor>
  <xdr:twoCellAnchor>
    <xdr:from>
      <xdr:col>4</xdr:col>
      <xdr:colOff>21981</xdr:colOff>
      <xdr:row>37</xdr:row>
      <xdr:rowOff>0</xdr:rowOff>
    </xdr:from>
    <xdr:to>
      <xdr:col>4</xdr:col>
      <xdr:colOff>431556</xdr:colOff>
      <xdr:row>37</xdr:row>
      <xdr:rowOff>0</xdr:rowOff>
    </xdr:to>
    <xdr:sp macro="" textlink="">
      <xdr:nvSpPr>
        <xdr:cNvPr id="276" name="TextBox 275">
          <a:hlinkClick xmlns:r="http://schemas.openxmlformats.org/officeDocument/2006/relationships" r:id="rId12"/>
          <a:extLst>
            <a:ext uri="{FF2B5EF4-FFF2-40B4-BE49-F238E27FC236}">
              <a16:creationId xmlns:a16="http://schemas.microsoft.com/office/drawing/2014/main" id="{00000000-0008-0000-0700-000014010000}"/>
            </a:ext>
          </a:extLst>
        </xdr:cNvPr>
        <xdr:cNvSpPr txBox="1"/>
      </xdr:nvSpPr>
      <xdr:spPr>
        <a:xfrm>
          <a:off x="8323385" y="14725649"/>
          <a:ext cx="40957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800" b="0" i="0" u="sng" strike="noStrike">
              <a:solidFill>
                <a:srgbClr val="0000FF"/>
              </a:solidFill>
              <a:latin typeface="Calibri"/>
            </a:rPr>
            <a:t>Back to Form</a:t>
          </a:r>
        </a:p>
      </xdr:txBody>
    </xdr:sp>
    <xdr:clientData/>
  </xdr:twoCellAnchor>
  <xdr:twoCellAnchor>
    <xdr:from>
      <xdr:col>4</xdr:col>
      <xdr:colOff>21981</xdr:colOff>
      <xdr:row>40</xdr:row>
      <xdr:rowOff>263769</xdr:rowOff>
    </xdr:from>
    <xdr:to>
      <xdr:col>4</xdr:col>
      <xdr:colOff>431556</xdr:colOff>
      <xdr:row>40</xdr:row>
      <xdr:rowOff>549519</xdr:rowOff>
    </xdr:to>
    <xdr:sp macro="" textlink="">
      <xdr:nvSpPr>
        <xdr:cNvPr id="277" name="TextBox 276">
          <a:hlinkClick xmlns:r="http://schemas.openxmlformats.org/officeDocument/2006/relationships" r:id="rId13"/>
          <a:extLst>
            <a:ext uri="{FF2B5EF4-FFF2-40B4-BE49-F238E27FC236}">
              <a16:creationId xmlns:a16="http://schemas.microsoft.com/office/drawing/2014/main" id="{00000000-0008-0000-0700-000015010000}"/>
            </a:ext>
          </a:extLst>
        </xdr:cNvPr>
        <xdr:cNvSpPr txBox="1"/>
      </xdr:nvSpPr>
      <xdr:spPr>
        <a:xfrm>
          <a:off x="8323385" y="16720038"/>
          <a:ext cx="40957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800" b="0" i="0" u="sng" strike="noStrike">
              <a:solidFill>
                <a:srgbClr val="0000FF"/>
              </a:solidFill>
              <a:latin typeface="Calibri"/>
            </a:rPr>
            <a:t>Back to Form</a:t>
          </a:r>
        </a:p>
      </xdr:txBody>
    </xdr:sp>
    <xdr:clientData/>
  </xdr:twoCellAnchor>
  <xdr:twoCellAnchor>
    <xdr:from>
      <xdr:col>4</xdr:col>
      <xdr:colOff>21981</xdr:colOff>
      <xdr:row>41</xdr:row>
      <xdr:rowOff>586154</xdr:rowOff>
    </xdr:from>
    <xdr:to>
      <xdr:col>4</xdr:col>
      <xdr:colOff>431556</xdr:colOff>
      <xdr:row>41</xdr:row>
      <xdr:rowOff>871904</xdr:rowOff>
    </xdr:to>
    <xdr:sp macro="" textlink="">
      <xdr:nvSpPr>
        <xdr:cNvPr id="278" name="TextBox 277">
          <a:hlinkClick xmlns:r="http://schemas.openxmlformats.org/officeDocument/2006/relationships" r:id="rId14"/>
          <a:extLst>
            <a:ext uri="{FF2B5EF4-FFF2-40B4-BE49-F238E27FC236}">
              <a16:creationId xmlns:a16="http://schemas.microsoft.com/office/drawing/2014/main" id="{00000000-0008-0000-0700-000016010000}"/>
            </a:ext>
          </a:extLst>
        </xdr:cNvPr>
        <xdr:cNvSpPr txBox="1"/>
      </xdr:nvSpPr>
      <xdr:spPr>
        <a:xfrm>
          <a:off x="8323385" y="17994923"/>
          <a:ext cx="40957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800" b="0" i="0" u="sng" strike="noStrike">
              <a:solidFill>
                <a:srgbClr val="0000FF"/>
              </a:solidFill>
              <a:latin typeface="Calibri"/>
            </a:rPr>
            <a:t>Back to Form</a:t>
          </a:r>
        </a:p>
      </xdr:txBody>
    </xdr:sp>
    <xdr:clientData/>
  </xdr:twoCellAnchor>
  <xdr:twoCellAnchor>
    <xdr:from>
      <xdr:col>4</xdr:col>
      <xdr:colOff>21981</xdr:colOff>
      <xdr:row>42</xdr:row>
      <xdr:rowOff>196362</xdr:rowOff>
    </xdr:from>
    <xdr:to>
      <xdr:col>4</xdr:col>
      <xdr:colOff>431556</xdr:colOff>
      <xdr:row>42</xdr:row>
      <xdr:rowOff>482112</xdr:rowOff>
    </xdr:to>
    <xdr:sp macro="" textlink="">
      <xdr:nvSpPr>
        <xdr:cNvPr id="279" name="TextBox 278">
          <a:hlinkClick xmlns:r="http://schemas.openxmlformats.org/officeDocument/2006/relationships" r:id="rId15"/>
          <a:extLst>
            <a:ext uri="{FF2B5EF4-FFF2-40B4-BE49-F238E27FC236}">
              <a16:creationId xmlns:a16="http://schemas.microsoft.com/office/drawing/2014/main" id="{00000000-0008-0000-0700-000017010000}"/>
            </a:ext>
          </a:extLst>
        </xdr:cNvPr>
        <xdr:cNvSpPr txBox="1"/>
      </xdr:nvSpPr>
      <xdr:spPr>
        <a:xfrm>
          <a:off x="8323385" y="19129131"/>
          <a:ext cx="40957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800" b="0" i="0" u="sng" strike="noStrike">
              <a:solidFill>
                <a:srgbClr val="0000FF"/>
              </a:solidFill>
              <a:latin typeface="Calibri"/>
            </a:rPr>
            <a:t>Back to Form</a:t>
          </a:r>
        </a:p>
      </xdr:txBody>
    </xdr:sp>
    <xdr:clientData/>
  </xdr:twoCellAnchor>
  <xdr:twoCellAnchor>
    <xdr:from>
      <xdr:col>4</xdr:col>
      <xdr:colOff>21981</xdr:colOff>
      <xdr:row>43</xdr:row>
      <xdr:rowOff>326781</xdr:rowOff>
    </xdr:from>
    <xdr:to>
      <xdr:col>4</xdr:col>
      <xdr:colOff>431556</xdr:colOff>
      <xdr:row>43</xdr:row>
      <xdr:rowOff>612531</xdr:rowOff>
    </xdr:to>
    <xdr:sp macro="" textlink="">
      <xdr:nvSpPr>
        <xdr:cNvPr id="280" name="TextBox 279">
          <a:hlinkClick xmlns:r="http://schemas.openxmlformats.org/officeDocument/2006/relationships" r:id="rId16"/>
          <a:extLst>
            <a:ext uri="{FF2B5EF4-FFF2-40B4-BE49-F238E27FC236}">
              <a16:creationId xmlns:a16="http://schemas.microsoft.com/office/drawing/2014/main" id="{00000000-0008-0000-0700-000018010000}"/>
            </a:ext>
          </a:extLst>
        </xdr:cNvPr>
        <xdr:cNvSpPr txBox="1"/>
      </xdr:nvSpPr>
      <xdr:spPr>
        <a:xfrm>
          <a:off x="8323385" y="19948281"/>
          <a:ext cx="40957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800" b="0" i="0" u="sng" strike="noStrike">
              <a:solidFill>
                <a:srgbClr val="0000FF"/>
              </a:solidFill>
              <a:latin typeface="Calibri"/>
            </a:rPr>
            <a:t>Back to Form</a:t>
          </a:r>
        </a:p>
      </xdr:txBody>
    </xdr:sp>
    <xdr:clientData/>
  </xdr:twoCellAnchor>
  <xdr:twoCellAnchor>
    <xdr:from>
      <xdr:col>4</xdr:col>
      <xdr:colOff>21981</xdr:colOff>
      <xdr:row>48</xdr:row>
      <xdr:rowOff>1106366</xdr:rowOff>
    </xdr:from>
    <xdr:to>
      <xdr:col>4</xdr:col>
      <xdr:colOff>431556</xdr:colOff>
      <xdr:row>48</xdr:row>
      <xdr:rowOff>1392116</xdr:rowOff>
    </xdr:to>
    <xdr:sp macro="" textlink="">
      <xdr:nvSpPr>
        <xdr:cNvPr id="281" name="TextBox 280">
          <a:hlinkClick xmlns:r="http://schemas.openxmlformats.org/officeDocument/2006/relationships" r:id="rId17"/>
          <a:extLst>
            <a:ext uri="{FF2B5EF4-FFF2-40B4-BE49-F238E27FC236}">
              <a16:creationId xmlns:a16="http://schemas.microsoft.com/office/drawing/2014/main" id="{00000000-0008-0000-0700-000019010000}"/>
            </a:ext>
          </a:extLst>
        </xdr:cNvPr>
        <xdr:cNvSpPr txBox="1"/>
      </xdr:nvSpPr>
      <xdr:spPr>
        <a:xfrm>
          <a:off x="8323385" y="25343828"/>
          <a:ext cx="40957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800" b="0" i="0" u="sng" strike="noStrike">
              <a:solidFill>
                <a:srgbClr val="0000FF"/>
              </a:solidFill>
              <a:latin typeface="Calibri"/>
            </a:rPr>
            <a:t>Back to Form</a:t>
          </a:r>
        </a:p>
      </xdr:txBody>
    </xdr:sp>
    <xdr:clientData/>
  </xdr:twoCellAnchor>
  <xdr:twoCellAnchor>
    <xdr:from>
      <xdr:col>4</xdr:col>
      <xdr:colOff>21981</xdr:colOff>
      <xdr:row>49</xdr:row>
      <xdr:rowOff>416171</xdr:rowOff>
    </xdr:from>
    <xdr:to>
      <xdr:col>4</xdr:col>
      <xdr:colOff>431556</xdr:colOff>
      <xdr:row>49</xdr:row>
      <xdr:rowOff>701921</xdr:rowOff>
    </xdr:to>
    <xdr:sp macro="" textlink="">
      <xdr:nvSpPr>
        <xdr:cNvPr id="282" name="TextBox 281">
          <a:hlinkClick xmlns:r="http://schemas.openxmlformats.org/officeDocument/2006/relationships" r:id="rId18"/>
          <a:extLst>
            <a:ext uri="{FF2B5EF4-FFF2-40B4-BE49-F238E27FC236}">
              <a16:creationId xmlns:a16="http://schemas.microsoft.com/office/drawing/2014/main" id="{00000000-0008-0000-0700-00001A010000}"/>
            </a:ext>
          </a:extLst>
        </xdr:cNvPr>
        <xdr:cNvSpPr txBox="1"/>
      </xdr:nvSpPr>
      <xdr:spPr>
        <a:xfrm>
          <a:off x="8323385" y="27379248"/>
          <a:ext cx="40957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800" b="0" i="0" u="sng" strike="noStrike">
              <a:solidFill>
                <a:srgbClr val="0000FF"/>
              </a:solidFill>
              <a:latin typeface="Calibri"/>
            </a:rPr>
            <a:t>Back to Form</a:t>
          </a:r>
        </a:p>
      </xdr:txBody>
    </xdr:sp>
    <xdr:clientData/>
  </xdr:twoCellAnchor>
  <xdr:twoCellAnchor>
    <xdr:from>
      <xdr:col>4</xdr:col>
      <xdr:colOff>21981</xdr:colOff>
      <xdr:row>102</xdr:row>
      <xdr:rowOff>117230</xdr:rowOff>
    </xdr:from>
    <xdr:to>
      <xdr:col>4</xdr:col>
      <xdr:colOff>431556</xdr:colOff>
      <xdr:row>102</xdr:row>
      <xdr:rowOff>402980</xdr:rowOff>
    </xdr:to>
    <xdr:sp macro="" textlink="">
      <xdr:nvSpPr>
        <xdr:cNvPr id="284" name="TextBox 283">
          <a:hlinkClick xmlns:r="http://schemas.openxmlformats.org/officeDocument/2006/relationships" r:id="rId19"/>
          <a:extLst>
            <a:ext uri="{FF2B5EF4-FFF2-40B4-BE49-F238E27FC236}">
              <a16:creationId xmlns:a16="http://schemas.microsoft.com/office/drawing/2014/main" id="{00000000-0008-0000-0700-00001C010000}"/>
            </a:ext>
          </a:extLst>
        </xdr:cNvPr>
        <xdr:cNvSpPr txBox="1"/>
      </xdr:nvSpPr>
      <xdr:spPr>
        <a:xfrm>
          <a:off x="8323385" y="43587865"/>
          <a:ext cx="40957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800" b="0" i="0" u="sng" strike="noStrike">
              <a:solidFill>
                <a:srgbClr val="0000FF"/>
              </a:solidFill>
              <a:latin typeface="Calibri"/>
            </a:rPr>
            <a:t>Back to Form</a:t>
          </a:r>
        </a:p>
      </xdr:txBody>
    </xdr:sp>
    <xdr:clientData/>
  </xdr:twoCellAnchor>
  <xdr:twoCellAnchor>
    <xdr:from>
      <xdr:col>4</xdr:col>
      <xdr:colOff>21981</xdr:colOff>
      <xdr:row>103</xdr:row>
      <xdr:rowOff>109904</xdr:rowOff>
    </xdr:from>
    <xdr:to>
      <xdr:col>4</xdr:col>
      <xdr:colOff>431556</xdr:colOff>
      <xdr:row>103</xdr:row>
      <xdr:rowOff>395654</xdr:rowOff>
    </xdr:to>
    <xdr:sp macro="" textlink="">
      <xdr:nvSpPr>
        <xdr:cNvPr id="285" name="TextBox 284">
          <a:hlinkClick xmlns:r="http://schemas.openxmlformats.org/officeDocument/2006/relationships" r:id="rId20"/>
          <a:extLst>
            <a:ext uri="{FF2B5EF4-FFF2-40B4-BE49-F238E27FC236}">
              <a16:creationId xmlns:a16="http://schemas.microsoft.com/office/drawing/2014/main" id="{00000000-0008-0000-0700-00001D010000}"/>
            </a:ext>
          </a:extLst>
        </xdr:cNvPr>
        <xdr:cNvSpPr txBox="1"/>
      </xdr:nvSpPr>
      <xdr:spPr>
        <a:xfrm>
          <a:off x="8323385" y="44152039"/>
          <a:ext cx="40957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800" b="0" i="0" u="sng" strike="noStrike">
              <a:solidFill>
                <a:srgbClr val="0000FF"/>
              </a:solidFill>
              <a:latin typeface="Calibri"/>
            </a:rPr>
            <a:t>Back to Form</a:t>
          </a:r>
        </a:p>
      </xdr:txBody>
    </xdr:sp>
    <xdr:clientData/>
  </xdr:twoCellAnchor>
  <xdr:twoCellAnchor>
    <xdr:from>
      <xdr:col>4</xdr:col>
      <xdr:colOff>21981</xdr:colOff>
      <xdr:row>104</xdr:row>
      <xdr:rowOff>315058</xdr:rowOff>
    </xdr:from>
    <xdr:to>
      <xdr:col>4</xdr:col>
      <xdr:colOff>431556</xdr:colOff>
      <xdr:row>104</xdr:row>
      <xdr:rowOff>600808</xdr:rowOff>
    </xdr:to>
    <xdr:sp macro="" textlink="">
      <xdr:nvSpPr>
        <xdr:cNvPr id="286" name="TextBox 285">
          <a:hlinkClick xmlns:r="http://schemas.openxmlformats.org/officeDocument/2006/relationships" r:id="rId21"/>
          <a:extLst>
            <a:ext uri="{FF2B5EF4-FFF2-40B4-BE49-F238E27FC236}">
              <a16:creationId xmlns:a16="http://schemas.microsoft.com/office/drawing/2014/main" id="{00000000-0008-0000-0700-00001E010000}"/>
            </a:ext>
          </a:extLst>
        </xdr:cNvPr>
        <xdr:cNvSpPr txBox="1"/>
      </xdr:nvSpPr>
      <xdr:spPr>
        <a:xfrm>
          <a:off x="8323385" y="44928693"/>
          <a:ext cx="40957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800" b="0" i="0" u="sng" strike="noStrike">
              <a:solidFill>
                <a:srgbClr val="0000FF"/>
              </a:solidFill>
              <a:latin typeface="Calibri"/>
            </a:rPr>
            <a:t>Back to Form</a:t>
          </a:r>
        </a:p>
      </xdr:txBody>
    </xdr:sp>
    <xdr:clientData/>
  </xdr:twoCellAnchor>
  <xdr:twoCellAnchor>
    <xdr:from>
      <xdr:col>4</xdr:col>
      <xdr:colOff>21981</xdr:colOff>
      <xdr:row>110</xdr:row>
      <xdr:rowOff>212481</xdr:rowOff>
    </xdr:from>
    <xdr:to>
      <xdr:col>4</xdr:col>
      <xdr:colOff>431556</xdr:colOff>
      <xdr:row>110</xdr:row>
      <xdr:rowOff>498231</xdr:rowOff>
    </xdr:to>
    <xdr:sp macro="" textlink="">
      <xdr:nvSpPr>
        <xdr:cNvPr id="287" name="TextBox 286">
          <a:hlinkClick xmlns:r="http://schemas.openxmlformats.org/officeDocument/2006/relationships" r:id="rId22"/>
          <a:extLst>
            <a:ext uri="{FF2B5EF4-FFF2-40B4-BE49-F238E27FC236}">
              <a16:creationId xmlns:a16="http://schemas.microsoft.com/office/drawing/2014/main" id="{00000000-0008-0000-0700-00001F010000}"/>
            </a:ext>
          </a:extLst>
        </xdr:cNvPr>
        <xdr:cNvSpPr txBox="1"/>
      </xdr:nvSpPr>
      <xdr:spPr>
        <a:xfrm>
          <a:off x="8323385" y="47793519"/>
          <a:ext cx="40957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800" b="0" i="0" u="sng" strike="noStrike">
              <a:solidFill>
                <a:srgbClr val="0000FF"/>
              </a:solidFill>
              <a:latin typeface="Calibri"/>
            </a:rPr>
            <a:t>Back to Form</a:t>
          </a:r>
        </a:p>
      </xdr:txBody>
    </xdr:sp>
    <xdr:clientData/>
  </xdr:twoCellAnchor>
  <xdr:twoCellAnchor>
    <xdr:from>
      <xdr:col>4</xdr:col>
      <xdr:colOff>21981</xdr:colOff>
      <xdr:row>111</xdr:row>
      <xdr:rowOff>269631</xdr:rowOff>
    </xdr:from>
    <xdr:to>
      <xdr:col>4</xdr:col>
      <xdr:colOff>431556</xdr:colOff>
      <xdr:row>111</xdr:row>
      <xdr:rowOff>555381</xdr:rowOff>
    </xdr:to>
    <xdr:sp macro="" textlink="">
      <xdr:nvSpPr>
        <xdr:cNvPr id="288" name="TextBox 287">
          <a:hlinkClick xmlns:r="http://schemas.openxmlformats.org/officeDocument/2006/relationships" r:id="rId23"/>
          <a:extLst>
            <a:ext uri="{FF2B5EF4-FFF2-40B4-BE49-F238E27FC236}">
              <a16:creationId xmlns:a16="http://schemas.microsoft.com/office/drawing/2014/main" id="{00000000-0008-0000-0700-000020010000}"/>
            </a:ext>
          </a:extLst>
        </xdr:cNvPr>
        <xdr:cNvSpPr txBox="1"/>
      </xdr:nvSpPr>
      <xdr:spPr>
        <a:xfrm>
          <a:off x="8323385" y="48612669"/>
          <a:ext cx="40957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800" b="0" i="0" u="sng" strike="noStrike">
              <a:solidFill>
                <a:srgbClr val="0000FF"/>
              </a:solidFill>
              <a:latin typeface="Calibri"/>
            </a:rPr>
            <a:t>Back to Form</a:t>
          </a:r>
        </a:p>
      </xdr:txBody>
    </xdr:sp>
    <xdr:clientData/>
  </xdr:twoCellAnchor>
  <xdr:twoCellAnchor>
    <xdr:from>
      <xdr:col>4</xdr:col>
      <xdr:colOff>21981</xdr:colOff>
      <xdr:row>112</xdr:row>
      <xdr:rowOff>48357</xdr:rowOff>
    </xdr:from>
    <xdr:to>
      <xdr:col>4</xdr:col>
      <xdr:colOff>431556</xdr:colOff>
      <xdr:row>112</xdr:row>
      <xdr:rowOff>334107</xdr:rowOff>
    </xdr:to>
    <xdr:sp macro="" textlink="">
      <xdr:nvSpPr>
        <xdr:cNvPr id="289" name="TextBox 288">
          <a:hlinkClick xmlns:r="http://schemas.openxmlformats.org/officeDocument/2006/relationships" r:id="rId24"/>
          <a:extLst>
            <a:ext uri="{FF2B5EF4-FFF2-40B4-BE49-F238E27FC236}">
              <a16:creationId xmlns:a16="http://schemas.microsoft.com/office/drawing/2014/main" id="{00000000-0008-0000-0700-000021010000}"/>
            </a:ext>
          </a:extLst>
        </xdr:cNvPr>
        <xdr:cNvSpPr txBox="1"/>
      </xdr:nvSpPr>
      <xdr:spPr>
        <a:xfrm>
          <a:off x="8323385" y="49204684"/>
          <a:ext cx="40957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800" b="0" i="0" u="sng" strike="noStrike">
              <a:solidFill>
                <a:srgbClr val="0000FF"/>
              </a:solidFill>
              <a:latin typeface="Calibri"/>
            </a:rPr>
            <a:t>Back to Form</a:t>
          </a:r>
        </a:p>
      </xdr:txBody>
    </xdr:sp>
    <xdr:clientData/>
  </xdr:twoCellAnchor>
  <xdr:twoCellAnchor>
    <xdr:from>
      <xdr:col>4</xdr:col>
      <xdr:colOff>21981</xdr:colOff>
      <xdr:row>113</xdr:row>
      <xdr:rowOff>39564</xdr:rowOff>
    </xdr:from>
    <xdr:to>
      <xdr:col>4</xdr:col>
      <xdr:colOff>431556</xdr:colOff>
      <xdr:row>113</xdr:row>
      <xdr:rowOff>325314</xdr:rowOff>
    </xdr:to>
    <xdr:sp macro="" textlink="">
      <xdr:nvSpPr>
        <xdr:cNvPr id="290" name="TextBox 289">
          <a:hlinkClick xmlns:r="http://schemas.openxmlformats.org/officeDocument/2006/relationships" r:id="rId25"/>
          <a:extLst>
            <a:ext uri="{FF2B5EF4-FFF2-40B4-BE49-F238E27FC236}">
              <a16:creationId xmlns:a16="http://schemas.microsoft.com/office/drawing/2014/main" id="{00000000-0008-0000-0700-000022010000}"/>
            </a:ext>
          </a:extLst>
        </xdr:cNvPr>
        <xdr:cNvSpPr txBox="1"/>
      </xdr:nvSpPr>
      <xdr:spPr>
        <a:xfrm>
          <a:off x="8323385" y="49576891"/>
          <a:ext cx="40957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800" b="0" i="0" u="sng" strike="noStrike">
              <a:solidFill>
                <a:srgbClr val="0000FF"/>
              </a:solidFill>
              <a:latin typeface="Calibri"/>
            </a:rPr>
            <a:t>Back to Form</a:t>
          </a:r>
        </a:p>
      </xdr:txBody>
    </xdr:sp>
    <xdr:clientData/>
  </xdr:twoCellAnchor>
  <xdr:twoCellAnchor>
    <xdr:from>
      <xdr:col>4</xdr:col>
      <xdr:colOff>21981</xdr:colOff>
      <xdr:row>114</xdr:row>
      <xdr:rowOff>235926</xdr:rowOff>
    </xdr:from>
    <xdr:to>
      <xdr:col>4</xdr:col>
      <xdr:colOff>431556</xdr:colOff>
      <xdr:row>114</xdr:row>
      <xdr:rowOff>521676</xdr:rowOff>
    </xdr:to>
    <xdr:sp macro="" textlink="">
      <xdr:nvSpPr>
        <xdr:cNvPr id="291" name="TextBox 290">
          <a:hlinkClick xmlns:r="http://schemas.openxmlformats.org/officeDocument/2006/relationships" r:id="rId26"/>
          <a:extLst>
            <a:ext uri="{FF2B5EF4-FFF2-40B4-BE49-F238E27FC236}">
              <a16:creationId xmlns:a16="http://schemas.microsoft.com/office/drawing/2014/main" id="{00000000-0008-0000-0700-000023010000}"/>
            </a:ext>
          </a:extLst>
        </xdr:cNvPr>
        <xdr:cNvSpPr txBox="1"/>
      </xdr:nvSpPr>
      <xdr:spPr>
        <a:xfrm>
          <a:off x="8323385" y="50154253"/>
          <a:ext cx="40957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800" b="0" i="0" u="sng" strike="noStrike">
              <a:solidFill>
                <a:srgbClr val="0000FF"/>
              </a:solidFill>
              <a:latin typeface="Calibri"/>
            </a:rPr>
            <a:t>Back to Form</a:t>
          </a:r>
        </a:p>
      </xdr:txBody>
    </xdr:sp>
    <xdr:clientData/>
  </xdr:twoCellAnchor>
  <xdr:twoCellAnchor>
    <xdr:from>
      <xdr:col>4</xdr:col>
      <xdr:colOff>21981</xdr:colOff>
      <xdr:row>115</xdr:row>
      <xdr:rowOff>227134</xdr:rowOff>
    </xdr:from>
    <xdr:to>
      <xdr:col>4</xdr:col>
      <xdr:colOff>431556</xdr:colOff>
      <xdr:row>115</xdr:row>
      <xdr:rowOff>512884</xdr:rowOff>
    </xdr:to>
    <xdr:sp macro="" textlink="">
      <xdr:nvSpPr>
        <xdr:cNvPr id="292" name="TextBox 291">
          <a:hlinkClick xmlns:r="http://schemas.openxmlformats.org/officeDocument/2006/relationships" r:id="rId27"/>
          <a:extLst>
            <a:ext uri="{FF2B5EF4-FFF2-40B4-BE49-F238E27FC236}">
              <a16:creationId xmlns:a16="http://schemas.microsoft.com/office/drawing/2014/main" id="{00000000-0008-0000-0700-000024010000}"/>
            </a:ext>
          </a:extLst>
        </xdr:cNvPr>
        <xdr:cNvSpPr txBox="1"/>
      </xdr:nvSpPr>
      <xdr:spPr>
        <a:xfrm>
          <a:off x="8323385" y="50907461"/>
          <a:ext cx="40957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800" b="0" i="0" u="sng" strike="noStrike">
              <a:solidFill>
                <a:srgbClr val="0000FF"/>
              </a:solidFill>
              <a:latin typeface="Calibri"/>
            </a:rPr>
            <a:t>Back to Form</a:t>
          </a:r>
        </a:p>
      </xdr:txBody>
    </xdr:sp>
    <xdr:clientData/>
  </xdr:twoCellAnchor>
  <xdr:twoCellAnchor>
    <xdr:from>
      <xdr:col>4</xdr:col>
      <xdr:colOff>21981</xdr:colOff>
      <xdr:row>116</xdr:row>
      <xdr:rowOff>225668</xdr:rowOff>
    </xdr:from>
    <xdr:to>
      <xdr:col>4</xdr:col>
      <xdr:colOff>431556</xdr:colOff>
      <xdr:row>116</xdr:row>
      <xdr:rowOff>511418</xdr:rowOff>
    </xdr:to>
    <xdr:sp macro="" textlink="">
      <xdr:nvSpPr>
        <xdr:cNvPr id="293" name="TextBox 292">
          <a:hlinkClick xmlns:r="http://schemas.openxmlformats.org/officeDocument/2006/relationships" r:id="rId28"/>
          <a:extLst>
            <a:ext uri="{FF2B5EF4-FFF2-40B4-BE49-F238E27FC236}">
              <a16:creationId xmlns:a16="http://schemas.microsoft.com/office/drawing/2014/main" id="{00000000-0008-0000-0700-000025010000}"/>
            </a:ext>
          </a:extLst>
        </xdr:cNvPr>
        <xdr:cNvSpPr txBox="1"/>
      </xdr:nvSpPr>
      <xdr:spPr>
        <a:xfrm>
          <a:off x="8323385" y="51667995"/>
          <a:ext cx="40957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800" b="0" i="0" u="sng" strike="noStrike">
              <a:solidFill>
                <a:srgbClr val="0000FF"/>
              </a:solidFill>
              <a:latin typeface="Calibri"/>
            </a:rPr>
            <a:t>Back to Form</a:t>
          </a:r>
        </a:p>
      </xdr:txBody>
    </xdr:sp>
    <xdr:clientData/>
  </xdr:twoCellAnchor>
  <xdr:twoCellAnchor>
    <xdr:from>
      <xdr:col>4</xdr:col>
      <xdr:colOff>21981</xdr:colOff>
      <xdr:row>117</xdr:row>
      <xdr:rowOff>128953</xdr:rowOff>
    </xdr:from>
    <xdr:to>
      <xdr:col>4</xdr:col>
      <xdr:colOff>431556</xdr:colOff>
      <xdr:row>117</xdr:row>
      <xdr:rowOff>414703</xdr:rowOff>
    </xdr:to>
    <xdr:sp macro="" textlink="">
      <xdr:nvSpPr>
        <xdr:cNvPr id="294" name="TextBox 293">
          <a:hlinkClick xmlns:r="http://schemas.openxmlformats.org/officeDocument/2006/relationships" r:id="rId29"/>
          <a:extLst>
            <a:ext uri="{FF2B5EF4-FFF2-40B4-BE49-F238E27FC236}">
              <a16:creationId xmlns:a16="http://schemas.microsoft.com/office/drawing/2014/main" id="{00000000-0008-0000-0700-000026010000}"/>
            </a:ext>
          </a:extLst>
        </xdr:cNvPr>
        <xdr:cNvSpPr txBox="1"/>
      </xdr:nvSpPr>
      <xdr:spPr>
        <a:xfrm>
          <a:off x="8323385" y="52333280"/>
          <a:ext cx="40957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800" b="0" i="0" u="sng" strike="noStrike">
              <a:solidFill>
                <a:srgbClr val="0000FF"/>
              </a:solidFill>
              <a:latin typeface="Calibri"/>
            </a:rPr>
            <a:t>Back to Form</a:t>
          </a:r>
        </a:p>
      </xdr:txBody>
    </xdr:sp>
    <xdr:clientData/>
  </xdr:twoCellAnchor>
  <xdr:twoCellAnchor>
    <xdr:from>
      <xdr:col>4</xdr:col>
      <xdr:colOff>21981</xdr:colOff>
      <xdr:row>118</xdr:row>
      <xdr:rowOff>149468</xdr:rowOff>
    </xdr:from>
    <xdr:to>
      <xdr:col>4</xdr:col>
      <xdr:colOff>431556</xdr:colOff>
      <xdr:row>118</xdr:row>
      <xdr:rowOff>435218</xdr:rowOff>
    </xdr:to>
    <xdr:sp macro="" textlink="">
      <xdr:nvSpPr>
        <xdr:cNvPr id="295" name="TextBox 294">
          <a:hlinkClick xmlns:r="http://schemas.openxmlformats.org/officeDocument/2006/relationships" r:id="rId30"/>
          <a:extLst>
            <a:ext uri="{FF2B5EF4-FFF2-40B4-BE49-F238E27FC236}">
              <a16:creationId xmlns:a16="http://schemas.microsoft.com/office/drawing/2014/main" id="{00000000-0008-0000-0700-000027010000}"/>
            </a:ext>
          </a:extLst>
        </xdr:cNvPr>
        <xdr:cNvSpPr txBox="1"/>
      </xdr:nvSpPr>
      <xdr:spPr>
        <a:xfrm>
          <a:off x="8323385" y="52925295"/>
          <a:ext cx="40957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800" b="0" i="0" u="sng" strike="noStrike">
              <a:solidFill>
                <a:srgbClr val="0000FF"/>
              </a:solidFill>
              <a:latin typeface="Calibri"/>
            </a:rPr>
            <a:t>Back to Form</a:t>
          </a:r>
        </a:p>
      </xdr:txBody>
    </xdr:sp>
    <xdr:clientData/>
  </xdr:twoCellAnchor>
  <xdr:twoCellAnchor>
    <xdr:from>
      <xdr:col>4</xdr:col>
      <xdr:colOff>21981</xdr:colOff>
      <xdr:row>123</xdr:row>
      <xdr:rowOff>140676</xdr:rowOff>
    </xdr:from>
    <xdr:to>
      <xdr:col>4</xdr:col>
      <xdr:colOff>431556</xdr:colOff>
      <xdr:row>123</xdr:row>
      <xdr:rowOff>426426</xdr:rowOff>
    </xdr:to>
    <xdr:sp macro="" textlink="">
      <xdr:nvSpPr>
        <xdr:cNvPr id="296" name="TextBox 295">
          <a:hlinkClick xmlns:r="http://schemas.openxmlformats.org/officeDocument/2006/relationships" r:id="rId31"/>
          <a:extLst>
            <a:ext uri="{FF2B5EF4-FFF2-40B4-BE49-F238E27FC236}">
              <a16:creationId xmlns:a16="http://schemas.microsoft.com/office/drawing/2014/main" id="{00000000-0008-0000-0700-000028010000}"/>
            </a:ext>
          </a:extLst>
        </xdr:cNvPr>
        <xdr:cNvSpPr txBox="1"/>
      </xdr:nvSpPr>
      <xdr:spPr>
        <a:xfrm>
          <a:off x="8323385" y="53488003"/>
          <a:ext cx="40957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800" b="0" i="0" u="sng" strike="noStrike">
              <a:solidFill>
                <a:srgbClr val="0000FF"/>
              </a:solidFill>
              <a:latin typeface="Calibri"/>
            </a:rPr>
            <a:t>Back to Form</a:t>
          </a:r>
        </a:p>
      </xdr:txBody>
    </xdr:sp>
    <xdr:clientData/>
  </xdr:twoCellAnchor>
  <xdr:twoCellAnchor>
    <xdr:from>
      <xdr:col>4</xdr:col>
      <xdr:colOff>21981</xdr:colOff>
      <xdr:row>124</xdr:row>
      <xdr:rowOff>300404</xdr:rowOff>
    </xdr:from>
    <xdr:to>
      <xdr:col>4</xdr:col>
      <xdr:colOff>431556</xdr:colOff>
      <xdr:row>124</xdr:row>
      <xdr:rowOff>586154</xdr:rowOff>
    </xdr:to>
    <xdr:sp macro="" textlink="">
      <xdr:nvSpPr>
        <xdr:cNvPr id="297" name="TextBox 296">
          <a:hlinkClick xmlns:r="http://schemas.openxmlformats.org/officeDocument/2006/relationships" r:id="rId32"/>
          <a:extLst>
            <a:ext uri="{FF2B5EF4-FFF2-40B4-BE49-F238E27FC236}">
              <a16:creationId xmlns:a16="http://schemas.microsoft.com/office/drawing/2014/main" id="{00000000-0008-0000-0700-000029010000}"/>
            </a:ext>
          </a:extLst>
        </xdr:cNvPr>
        <xdr:cNvSpPr txBox="1"/>
      </xdr:nvSpPr>
      <xdr:spPr>
        <a:xfrm>
          <a:off x="8323385" y="55669962"/>
          <a:ext cx="40957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800" b="0" i="0" u="sng" strike="noStrike">
              <a:solidFill>
                <a:srgbClr val="0000FF"/>
              </a:solidFill>
              <a:latin typeface="Calibri"/>
            </a:rPr>
            <a:t>Back to Form</a:t>
          </a:r>
        </a:p>
      </xdr:txBody>
    </xdr:sp>
    <xdr:clientData/>
  </xdr:twoCellAnchor>
  <xdr:twoCellAnchor>
    <xdr:from>
      <xdr:col>4</xdr:col>
      <xdr:colOff>21981</xdr:colOff>
      <xdr:row>125</xdr:row>
      <xdr:rowOff>395654</xdr:rowOff>
    </xdr:from>
    <xdr:to>
      <xdr:col>4</xdr:col>
      <xdr:colOff>431556</xdr:colOff>
      <xdr:row>125</xdr:row>
      <xdr:rowOff>681404</xdr:rowOff>
    </xdr:to>
    <xdr:sp macro="" textlink="">
      <xdr:nvSpPr>
        <xdr:cNvPr id="298" name="TextBox 297">
          <a:hlinkClick xmlns:r="http://schemas.openxmlformats.org/officeDocument/2006/relationships" r:id="rId33"/>
          <a:extLst>
            <a:ext uri="{FF2B5EF4-FFF2-40B4-BE49-F238E27FC236}">
              <a16:creationId xmlns:a16="http://schemas.microsoft.com/office/drawing/2014/main" id="{00000000-0008-0000-0700-00002A010000}"/>
            </a:ext>
          </a:extLst>
        </xdr:cNvPr>
        <xdr:cNvSpPr txBox="1"/>
      </xdr:nvSpPr>
      <xdr:spPr>
        <a:xfrm>
          <a:off x="8323385" y="56717712"/>
          <a:ext cx="40957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800" b="0" i="0" u="sng" strike="noStrike">
              <a:solidFill>
                <a:srgbClr val="0000FF"/>
              </a:solidFill>
              <a:latin typeface="Calibri"/>
            </a:rPr>
            <a:t>Back to Form</a:t>
          </a:r>
        </a:p>
      </xdr:txBody>
    </xdr:sp>
    <xdr:clientData/>
  </xdr:twoCellAnchor>
  <xdr:twoCellAnchor>
    <xdr:from>
      <xdr:col>4</xdr:col>
      <xdr:colOff>21981</xdr:colOff>
      <xdr:row>130</xdr:row>
      <xdr:rowOff>153866</xdr:rowOff>
    </xdr:from>
    <xdr:to>
      <xdr:col>4</xdr:col>
      <xdr:colOff>431556</xdr:colOff>
      <xdr:row>130</xdr:row>
      <xdr:rowOff>439616</xdr:rowOff>
    </xdr:to>
    <xdr:sp macro="" textlink="">
      <xdr:nvSpPr>
        <xdr:cNvPr id="299" name="TextBox 298">
          <a:hlinkClick xmlns:r="http://schemas.openxmlformats.org/officeDocument/2006/relationships" r:id="rId34"/>
          <a:extLst>
            <a:ext uri="{FF2B5EF4-FFF2-40B4-BE49-F238E27FC236}">
              <a16:creationId xmlns:a16="http://schemas.microsoft.com/office/drawing/2014/main" id="{00000000-0008-0000-0700-00002B010000}"/>
            </a:ext>
          </a:extLst>
        </xdr:cNvPr>
        <xdr:cNvSpPr txBox="1"/>
      </xdr:nvSpPr>
      <xdr:spPr>
        <a:xfrm>
          <a:off x="8323385" y="58681328"/>
          <a:ext cx="40957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800" b="0" i="0" u="sng" strike="noStrike">
              <a:solidFill>
                <a:srgbClr val="0000FF"/>
              </a:solidFill>
              <a:latin typeface="Calibri"/>
            </a:rPr>
            <a:t>Back to Form</a:t>
          </a:r>
        </a:p>
      </xdr:txBody>
    </xdr:sp>
    <xdr:clientData/>
  </xdr:twoCellAnchor>
  <xdr:twoCellAnchor>
    <xdr:from>
      <xdr:col>4</xdr:col>
      <xdr:colOff>21981</xdr:colOff>
      <xdr:row>131</xdr:row>
      <xdr:rowOff>262305</xdr:rowOff>
    </xdr:from>
    <xdr:to>
      <xdr:col>4</xdr:col>
      <xdr:colOff>431556</xdr:colOff>
      <xdr:row>131</xdr:row>
      <xdr:rowOff>548055</xdr:rowOff>
    </xdr:to>
    <xdr:sp macro="" textlink="">
      <xdr:nvSpPr>
        <xdr:cNvPr id="300" name="TextBox 299">
          <a:hlinkClick xmlns:r="http://schemas.openxmlformats.org/officeDocument/2006/relationships" r:id="rId35"/>
          <a:extLst>
            <a:ext uri="{FF2B5EF4-FFF2-40B4-BE49-F238E27FC236}">
              <a16:creationId xmlns:a16="http://schemas.microsoft.com/office/drawing/2014/main" id="{00000000-0008-0000-0700-00002C010000}"/>
            </a:ext>
          </a:extLst>
        </xdr:cNvPr>
        <xdr:cNvSpPr txBox="1"/>
      </xdr:nvSpPr>
      <xdr:spPr>
        <a:xfrm>
          <a:off x="8323385" y="59361267"/>
          <a:ext cx="40957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800" b="0" i="0" u="sng" strike="noStrike">
              <a:solidFill>
                <a:srgbClr val="0000FF"/>
              </a:solidFill>
              <a:latin typeface="Calibri"/>
            </a:rPr>
            <a:t>Back to Form</a:t>
          </a:r>
        </a:p>
      </xdr:txBody>
    </xdr:sp>
    <xdr:clientData/>
  </xdr:twoCellAnchor>
  <xdr:twoCellAnchor>
    <xdr:from>
      <xdr:col>4</xdr:col>
      <xdr:colOff>21981</xdr:colOff>
      <xdr:row>132</xdr:row>
      <xdr:rowOff>224206</xdr:rowOff>
    </xdr:from>
    <xdr:to>
      <xdr:col>4</xdr:col>
      <xdr:colOff>431556</xdr:colOff>
      <xdr:row>132</xdr:row>
      <xdr:rowOff>509956</xdr:rowOff>
    </xdr:to>
    <xdr:sp macro="" textlink="">
      <xdr:nvSpPr>
        <xdr:cNvPr id="301" name="TextBox 300">
          <a:hlinkClick xmlns:r="http://schemas.openxmlformats.org/officeDocument/2006/relationships" r:id="rId36"/>
          <a:extLst>
            <a:ext uri="{FF2B5EF4-FFF2-40B4-BE49-F238E27FC236}">
              <a16:creationId xmlns:a16="http://schemas.microsoft.com/office/drawing/2014/main" id="{00000000-0008-0000-0700-00002D010000}"/>
            </a:ext>
          </a:extLst>
        </xdr:cNvPr>
        <xdr:cNvSpPr txBox="1"/>
      </xdr:nvSpPr>
      <xdr:spPr>
        <a:xfrm>
          <a:off x="8323385" y="60209725"/>
          <a:ext cx="40957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800" b="0" i="0" u="sng" strike="noStrike">
              <a:solidFill>
                <a:srgbClr val="0000FF"/>
              </a:solidFill>
              <a:latin typeface="Calibri"/>
            </a:rPr>
            <a:t>Back to Form</a:t>
          </a:r>
        </a:p>
      </xdr:txBody>
    </xdr:sp>
    <xdr:clientData/>
  </xdr:twoCellAnchor>
  <xdr:twoCellAnchor>
    <xdr:from>
      <xdr:col>4</xdr:col>
      <xdr:colOff>21981</xdr:colOff>
      <xdr:row>137</xdr:row>
      <xdr:rowOff>215414</xdr:rowOff>
    </xdr:from>
    <xdr:to>
      <xdr:col>4</xdr:col>
      <xdr:colOff>431556</xdr:colOff>
      <xdr:row>137</xdr:row>
      <xdr:rowOff>501164</xdr:rowOff>
    </xdr:to>
    <xdr:sp macro="" textlink="">
      <xdr:nvSpPr>
        <xdr:cNvPr id="302" name="TextBox 301">
          <a:hlinkClick xmlns:r="http://schemas.openxmlformats.org/officeDocument/2006/relationships" r:id="rId37"/>
          <a:extLst>
            <a:ext uri="{FF2B5EF4-FFF2-40B4-BE49-F238E27FC236}">
              <a16:creationId xmlns:a16="http://schemas.microsoft.com/office/drawing/2014/main" id="{00000000-0008-0000-0700-00002E010000}"/>
            </a:ext>
          </a:extLst>
        </xdr:cNvPr>
        <xdr:cNvSpPr txBox="1"/>
      </xdr:nvSpPr>
      <xdr:spPr>
        <a:xfrm>
          <a:off x="8323385" y="60962933"/>
          <a:ext cx="40957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800" b="0" i="0" u="sng" strike="noStrike">
              <a:solidFill>
                <a:srgbClr val="0000FF"/>
              </a:solidFill>
              <a:latin typeface="Calibri"/>
            </a:rPr>
            <a:t>Back to Form</a:t>
          </a:r>
        </a:p>
      </xdr:txBody>
    </xdr:sp>
    <xdr:clientData/>
  </xdr:twoCellAnchor>
  <xdr:twoCellAnchor>
    <xdr:from>
      <xdr:col>4</xdr:col>
      <xdr:colOff>21981</xdr:colOff>
      <xdr:row>138</xdr:row>
      <xdr:rowOff>241788</xdr:rowOff>
    </xdr:from>
    <xdr:to>
      <xdr:col>4</xdr:col>
      <xdr:colOff>431556</xdr:colOff>
      <xdr:row>138</xdr:row>
      <xdr:rowOff>527538</xdr:rowOff>
    </xdr:to>
    <xdr:sp macro="" textlink="">
      <xdr:nvSpPr>
        <xdr:cNvPr id="303" name="TextBox 302">
          <a:hlinkClick xmlns:r="http://schemas.openxmlformats.org/officeDocument/2006/relationships" r:id="rId38"/>
          <a:extLst>
            <a:ext uri="{FF2B5EF4-FFF2-40B4-BE49-F238E27FC236}">
              <a16:creationId xmlns:a16="http://schemas.microsoft.com/office/drawing/2014/main" id="{00000000-0008-0000-0700-00002F010000}"/>
            </a:ext>
          </a:extLst>
        </xdr:cNvPr>
        <xdr:cNvSpPr txBox="1"/>
      </xdr:nvSpPr>
      <xdr:spPr>
        <a:xfrm>
          <a:off x="8323385" y="63392538"/>
          <a:ext cx="40957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800" b="0" i="0" u="sng" strike="noStrike">
              <a:solidFill>
                <a:srgbClr val="0000FF"/>
              </a:solidFill>
              <a:latin typeface="Calibri"/>
            </a:rPr>
            <a:t>Back to Form</a:t>
          </a:r>
        </a:p>
      </xdr:txBody>
    </xdr:sp>
    <xdr:clientData/>
  </xdr:twoCellAnchor>
  <xdr:twoCellAnchor>
    <xdr:from>
      <xdr:col>4</xdr:col>
      <xdr:colOff>21981</xdr:colOff>
      <xdr:row>144</xdr:row>
      <xdr:rowOff>359019</xdr:rowOff>
    </xdr:from>
    <xdr:to>
      <xdr:col>4</xdr:col>
      <xdr:colOff>431556</xdr:colOff>
      <xdr:row>144</xdr:row>
      <xdr:rowOff>644769</xdr:rowOff>
    </xdr:to>
    <xdr:sp macro="" textlink="">
      <xdr:nvSpPr>
        <xdr:cNvPr id="304" name="TextBox 303">
          <a:hlinkClick xmlns:r="http://schemas.openxmlformats.org/officeDocument/2006/relationships" r:id="rId39"/>
          <a:extLst>
            <a:ext uri="{FF2B5EF4-FFF2-40B4-BE49-F238E27FC236}">
              <a16:creationId xmlns:a16="http://schemas.microsoft.com/office/drawing/2014/main" id="{00000000-0008-0000-0700-000030010000}"/>
            </a:ext>
          </a:extLst>
        </xdr:cNvPr>
        <xdr:cNvSpPr txBox="1"/>
      </xdr:nvSpPr>
      <xdr:spPr>
        <a:xfrm>
          <a:off x="8323385" y="65502692"/>
          <a:ext cx="40957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800" b="0" i="0" u="sng" strike="noStrike">
              <a:solidFill>
                <a:srgbClr val="0000FF"/>
              </a:solidFill>
              <a:latin typeface="Calibri"/>
            </a:rPr>
            <a:t>Back to Form</a:t>
          </a:r>
        </a:p>
      </xdr:txBody>
    </xdr:sp>
    <xdr:clientData/>
  </xdr:twoCellAnchor>
  <xdr:twoCellAnchor>
    <xdr:from>
      <xdr:col>4</xdr:col>
      <xdr:colOff>21981</xdr:colOff>
      <xdr:row>145</xdr:row>
      <xdr:rowOff>73270</xdr:rowOff>
    </xdr:from>
    <xdr:to>
      <xdr:col>4</xdr:col>
      <xdr:colOff>431556</xdr:colOff>
      <xdr:row>145</xdr:row>
      <xdr:rowOff>359020</xdr:rowOff>
    </xdr:to>
    <xdr:sp macro="" textlink="">
      <xdr:nvSpPr>
        <xdr:cNvPr id="305" name="TextBox 304">
          <a:hlinkClick xmlns:r="http://schemas.openxmlformats.org/officeDocument/2006/relationships" r:id="rId40"/>
          <a:extLst>
            <a:ext uri="{FF2B5EF4-FFF2-40B4-BE49-F238E27FC236}">
              <a16:creationId xmlns:a16="http://schemas.microsoft.com/office/drawing/2014/main" id="{00000000-0008-0000-0700-000031010000}"/>
            </a:ext>
          </a:extLst>
        </xdr:cNvPr>
        <xdr:cNvSpPr txBox="1"/>
      </xdr:nvSpPr>
      <xdr:spPr>
        <a:xfrm>
          <a:off x="8323385" y="66228058"/>
          <a:ext cx="40957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800" b="0" i="0" u="sng" strike="noStrike">
              <a:solidFill>
                <a:srgbClr val="0000FF"/>
              </a:solidFill>
              <a:latin typeface="Calibri"/>
            </a:rPr>
            <a:t>Back to Form</a:t>
          </a:r>
        </a:p>
      </xdr:txBody>
    </xdr:sp>
    <xdr:clientData/>
  </xdr:twoCellAnchor>
  <xdr:twoCellAnchor>
    <xdr:from>
      <xdr:col>4</xdr:col>
      <xdr:colOff>21981</xdr:colOff>
      <xdr:row>146</xdr:row>
      <xdr:rowOff>168520</xdr:rowOff>
    </xdr:from>
    <xdr:to>
      <xdr:col>4</xdr:col>
      <xdr:colOff>431556</xdr:colOff>
      <xdr:row>146</xdr:row>
      <xdr:rowOff>454270</xdr:rowOff>
    </xdr:to>
    <xdr:sp macro="" textlink="">
      <xdr:nvSpPr>
        <xdr:cNvPr id="306" name="TextBox 305">
          <a:hlinkClick xmlns:r="http://schemas.openxmlformats.org/officeDocument/2006/relationships" r:id="rId41"/>
          <a:extLst>
            <a:ext uri="{FF2B5EF4-FFF2-40B4-BE49-F238E27FC236}">
              <a16:creationId xmlns:a16="http://schemas.microsoft.com/office/drawing/2014/main" id="{00000000-0008-0000-0700-000032010000}"/>
            </a:ext>
          </a:extLst>
        </xdr:cNvPr>
        <xdr:cNvSpPr txBox="1"/>
      </xdr:nvSpPr>
      <xdr:spPr>
        <a:xfrm>
          <a:off x="8323385" y="66777578"/>
          <a:ext cx="40957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800" b="0" i="0" u="sng" strike="noStrike">
              <a:solidFill>
                <a:srgbClr val="0000FF"/>
              </a:solidFill>
              <a:latin typeface="Calibri"/>
            </a:rPr>
            <a:t>Back to Form</a:t>
          </a:r>
        </a:p>
      </xdr:txBody>
    </xdr:sp>
    <xdr:clientData/>
  </xdr:twoCellAnchor>
  <xdr:twoCellAnchor>
    <xdr:from>
      <xdr:col>4</xdr:col>
      <xdr:colOff>21981</xdr:colOff>
      <xdr:row>147</xdr:row>
      <xdr:rowOff>366346</xdr:rowOff>
    </xdr:from>
    <xdr:to>
      <xdr:col>4</xdr:col>
      <xdr:colOff>431556</xdr:colOff>
      <xdr:row>147</xdr:row>
      <xdr:rowOff>652096</xdr:rowOff>
    </xdr:to>
    <xdr:sp macro="" textlink="">
      <xdr:nvSpPr>
        <xdr:cNvPr id="307" name="TextBox 306">
          <a:hlinkClick xmlns:r="http://schemas.openxmlformats.org/officeDocument/2006/relationships" r:id="rId42"/>
          <a:extLst>
            <a:ext uri="{FF2B5EF4-FFF2-40B4-BE49-F238E27FC236}">
              <a16:creationId xmlns:a16="http://schemas.microsoft.com/office/drawing/2014/main" id="{00000000-0008-0000-0700-000033010000}"/>
            </a:ext>
          </a:extLst>
        </xdr:cNvPr>
        <xdr:cNvSpPr txBox="1"/>
      </xdr:nvSpPr>
      <xdr:spPr>
        <a:xfrm>
          <a:off x="8323385" y="67576211"/>
          <a:ext cx="40957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800" b="0" i="0" u="sng" strike="noStrike">
              <a:solidFill>
                <a:srgbClr val="0000FF"/>
              </a:solidFill>
              <a:latin typeface="Calibri"/>
            </a:rPr>
            <a:t>Back to Form</a:t>
          </a:r>
        </a:p>
      </xdr:txBody>
    </xdr:sp>
    <xdr:clientData/>
  </xdr:twoCellAnchor>
  <xdr:twoCellAnchor>
    <xdr:from>
      <xdr:col>4</xdr:col>
      <xdr:colOff>21981</xdr:colOff>
      <xdr:row>152</xdr:row>
      <xdr:rowOff>337039</xdr:rowOff>
    </xdr:from>
    <xdr:to>
      <xdr:col>4</xdr:col>
      <xdr:colOff>431556</xdr:colOff>
      <xdr:row>152</xdr:row>
      <xdr:rowOff>622789</xdr:rowOff>
    </xdr:to>
    <xdr:sp macro="" textlink="">
      <xdr:nvSpPr>
        <xdr:cNvPr id="308" name="TextBox 307">
          <a:hlinkClick xmlns:r="http://schemas.openxmlformats.org/officeDocument/2006/relationships" r:id="rId43"/>
          <a:extLst>
            <a:ext uri="{FF2B5EF4-FFF2-40B4-BE49-F238E27FC236}">
              <a16:creationId xmlns:a16="http://schemas.microsoft.com/office/drawing/2014/main" id="{00000000-0008-0000-0700-000034010000}"/>
            </a:ext>
          </a:extLst>
        </xdr:cNvPr>
        <xdr:cNvSpPr txBox="1"/>
      </xdr:nvSpPr>
      <xdr:spPr>
        <a:xfrm>
          <a:off x="8323385" y="68587327"/>
          <a:ext cx="40957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800" b="0" i="0" u="sng" strike="noStrike">
              <a:solidFill>
                <a:srgbClr val="0000FF"/>
              </a:solidFill>
              <a:latin typeface="Calibri"/>
            </a:rPr>
            <a:t>Back to Form</a:t>
          </a:r>
        </a:p>
      </xdr:txBody>
    </xdr:sp>
    <xdr:clientData/>
  </xdr:twoCellAnchor>
  <xdr:twoCellAnchor>
    <xdr:from>
      <xdr:col>4</xdr:col>
      <xdr:colOff>21981</xdr:colOff>
      <xdr:row>153</xdr:row>
      <xdr:rowOff>43961</xdr:rowOff>
    </xdr:from>
    <xdr:to>
      <xdr:col>4</xdr:col>
      <xdr:colOff>431556</xdr:colOff>
      <xdr:row>153</xdr:row>
      <xdr:rowOff>329711</xdr:rowOff>
    </xdr:to>
    <xdr:sp macro="" textlink="">
      <xdr:nvSpPr>
        <xdr:cNvPr id="309" name="TextBox 308">
          <a:hlinkClick xmlns:r="http://schemas.openxmlformats.org/officeDocument/2006/relationships" r:id="rId44"/>
          <a:extLst>
            <a:ext uri="{FF2B5EF4-FFF2-40B4-BE49-F238E27FC236}">
              <a16:creationId xmlns:a16="http://schemas.microsoft.com/office/drawing/2014/main" id="{00000000-0008-0000-0700-000035010000}"/>
            </a:ext>
          </a:extLst>
        </xdr:cNvPr>
        <xdr:cNvSpPr txBox="1"/>
      </xdr:nvSpPr>
      <xdr:spPr>
        <a:xfrm>
          <a:off x="8323385" y="69217442"/>
          <a:ext cx="40957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800" b="0" i="0" u="sng" strike="noStrike">
              <a:solidFill>
                <a:srgbClr val="0000FF"/>
              </a:solidFill>
              <a:latin typeface="Calibri"/>
            </a:rPr>
            <a:t>Back to Form</a:t>
          </a:r>
        </a:p>
      </xdr:txBody>
    </xdr:sp>
    <xdr:clientData/>
  </xdr:twoCellAnchor>
  <xdr:twoCellAnchor>
    <xdr:from>
      <xdr:col>4</xdr:col>
      <xdr:colOff>21981</xdr:colOff>
      <xdr:row>154</xdr:row>
      <xdr:rowOff>227135</xdr:rowOff>
    </xdr:from>
    <xdr:to>
      <xdr:col>4</xdr:col>
      <xdr:colOff>431556</xdr:colOff>
      <xdr:row>154</xdr:row>
      <xdr:rowOff>512885</xdr:rowOff>
    </xdr:to>
    <xdr:sp macro="" textlink="">
      <xdr:nvSpPr>
        <xdr:cNvPr id="310" name="TextBox 309">
          <a:hlinkClick xmlns:r="http://schemas.openxmlformats.org/officeDocument/2006/relationships" r:id="rId45"/>
          <a:extLst>
            <a:ext uri="{FF2B5EF4-FFF2-40B4-BE49-F238E27FC236}">
              <a16:creationId xmlns:a16="http://schemas.microsoft.com/office/drawing/2014/main" id="{00000000-0008-0000-0700-000036010000}"/>
            </a:ext>
          </a:extLst>
        </xdr:cNvPr>
        <xdr:cNvSpPr txBox="1"/>
      </xdr:nvSpPr>
      <xdr:spPr>
        <a:xfrm>
          <a:off x="8323385" y="71159077"/>
          <a:ext cx="40957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800" b="0" i="0" u="sng" strike="noStrike">
              <a:solidFill>
                <a:srgbClr val="0000FF"/>
              </a:solidFill>
              <a:latin typeface="Calibri"/>
            </a:rPr>
            <a:t>Back to Form</a:t>
          </a:r>
        </a:p>
      </xdr:txBody>
    </xdr:sp>
    <xdr:clientData/>
  </xdr:twoCellAnchor>
  <xdr:twoCellAnchor>
    <xdr:from>
      <xdr:col>4</xdr:col>
      <xdr:colOff>21981</xdr:colOff>
      <xdr:row>166</xdr:row>
      <xdr:rowOff>21981</xdr:rowOff>
    </xdr:from>
    <xdr:to>
      <xdr:col>4</xdr:col>
      <xdr:colOff>431556</xdr:colOff>
      <xdr:row>167</xdr:row>
      <xdr:rowOff>117231</xdr:rowOff>
    </xdr:to>
    <xdr:sp macro="" textlink="">
      <xdr:nvSpPr>
        <xdr:cNvPr id="311" name="TextBox 310">
          <a:hlinkClick xmlns:r="http://schemas.openxmlformats.org/officeDocument/2006/relationships" r:id="rId46"/>
          <a:extLst>
            <a:ext uri="{FF2B5EF4-FFF2-40B4-BE49-F238E27FC236}">
              <a16:creationId xmlns:a16="http://schemas.microsoft.com/office/drawing/2014/main" id="{00000000-0008-0000-0700-000037010000}"/>
            </a:ext>
          </a:extLst>
        </xdr:cNvPr>
        <xdr:cNvSpPr txBox="1"/>
      </xdr:nvSpPr>
      <xdr:spPr>
        <a:xfrm>
          <a:off x="8323385" y="74690654"/>
          <a:ext cx="40957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800" b="0" i="0" u="sng" strike="noStrike">
              <a:solidFill>
                <a:srgbClr val="0000FF"/>
              </a:solidFill>
              <a:latin typeface="Calibri"/>
            </a:rPr>
            <a:t>Back to Form</a:t>
          </a:r>
        </a:p>
      </xdr:txBody>
    </xdr:sp>
    <xdr:clientData/>
  </xdr:twoCellAnchor>
  <xdr:twoCellAnchor>
    <xdr:from>
      <xdr:col>4</xdr:col>
      <xdr:colOff>21981</xdr:colOff>
      <xdr:row>185</xdr:row>
      <xdr:rowOff>79131</xdr:rowOff>
    </xdr:from>
    <xdr:to>
      <xdr:col>4</xdr:col>
      <xdr:colOff>431556</xdr:colOff>
      <xdr:row>186</xdr:row>
      <xdr:rowOff>174381</xdr:rowOff>
    </xdr:to>
    <xdr:sp macro="" textlink="">
      <xdr:nvSpPr>
        <xdr:cNvPr id="312" name="TextBox 311">
          <a:hlinkClick xmlns:r="http://schemas.openxmlformats.org/officeDocument/2006/relationships" r:id="rId47"/>
          <a:extLst>
            <a:ext uri="{FF2B5EF4-FFF2-40B4-BE49-F238E27FC236}">
              <a16:creationId xmlns:a16="http://schemas.microsoft.com/office/drawing/2014/main" id="{00000000-0008-0000-0700-000038010000}"/>
            </a:ext>
          </a:extLst>
        </xdr:cNvPr>
        <xdr:cNvSpPr txBox="1"/>
      </xdr:nvSpPr>
      <xdr:spPr>
        <a:xfrm>
          <a:off x="8323385" y="80096458"/>
          <a:ext cx="40957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800" b="0" i="0" u="sng" strike="noStrike">
              <a:solidFill>
                <a:srgbClr val="0000FF"/>
              </a:solidFill>
              <a:latin typeface="Calibri"/>
            </a:rPr>
            <a:t>Back to Form</a:t>
          </a:r>
        </a:p>
      </xdr:txBody>
    </xdr:sp>
    <xdr:clientData/>
  </xdr:twoCellAnchor>
  <xdr:twoCellAnchor>
    <xdr:from>
      <xdr:col>4</xdr:col>
      <xdr:colOff>21981</xdr:colOff>
      <xdr:row>175</xdr:row>
      <xdr:rowOff>0</xdr:rowOff>
    </xdr:from>
    <xdr:to>
      <xdr:col>4</xdr:col>
      <xdr:colOff>431556</xdr:colOff>
      <xdr:row>175</xdr:row>
      <xdr:rowOff>0</xdr:rowOff>
    </xdr:to>
    <xdr:sp macro="" textlink="">
      <xdr:nvSpPr>
        <xdr:cNvPr id="313" name="TextBox 312">
          <a:hlinkClick xmlns:r="http://schemas.openxmlformats.org/officeDocument/2006/relationships" r:id="rId48"/>
          <a:extLst>
            <a:ext uri="{FF2B5EF4-FFF2-40B4-BE49-F238E27FC236}">
              <a16:creationId xmlns:a16="http://schemas.microsoft.com/office/drawing/2014/main" id="{00000000-0008-0000-0700-000039010000}"/>
            </a:ext>
          </a:extLst>
        </xdr:cNvPr>
        <xdr:cNvSpPr txBox="1"/>
      </xdr:nvSpPr>
      <xdr:spPr>
        <a:xfrm>
          <a:off x="8323385" y="83607519"/>
          <a:ext cx="40957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800" b="0" i="0" u="sng" strike="noStrike">
              <a:solidFill>
                <a:srgbClr val="0000FF"/>
              </a:solidFill>
              <a:latin typeface="Calibri"/>
            </a:rPr>
            <a:t>Back to Form</a:t>
          </a:r>
        </a:p>
      </xdr:txBody>
    </xdr:sp>
    <xdr:clientData/>
  </xdr:twoCellAnchor>
  <xdr:twoCellAnchor>
    <xdr:from>
      <xdr:col>4</xdr:col>
      <xdr:colOff>21981</xdr:colOff>
      <xdr:row>202</xdr:row>
      <xdr:rowOff>461596</xdr:rowOff>
    </xdr:from>
    <xdr:to>
      <xdr:col>4</xdr:col>
      <xdr:colOff>431556</xdr:colOff>
      <xdr:row>202</xdr:row>
      <xdr:rowOff>747346</xdr:rowOff>
    </xdr:to>
    <xdr:sp macro="" textlink="">
      <xdr:nvSpPr>
        <xdr:cNvPr id="314" name="TextBox 313">
          <a:hlinkClick xmlns:r="http://schemas.openxmlformats.org/officeDocument/2006/relationships" r:id="rId49"/>
          <a:extLst>
            <a:ext uri="{FF2B5EF4-FFF2-40B4-BE49-F238E27FC236}">
              <a16:creationId xmlns:a16="http://schemas.microsoft.com/office/drawing/2014/main" id="{00000000-0008-0000-0700-00003A010000}"/>
            </a:ext>
          </a:extLst>
        </xdr:cNvPr>
        <xdr:cNvSpPr txBox="1"/>
      </xdr:nvSpPr>
      <xdr:spPr>
        <a:xfrm>
          <a:off x="8323385" y="86955923"/>
          <a:ext cx="40957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800" b="0" i="0" u="sng" strike="noStrike">
              <a:solidFill>
                <a:srgbClr val="0000FF"/>
              </a:solidFill>
              <a:latin typeface="Calibri"/>
            </a:rPr>
            <a:t>Back to Form</a:t>
          </a:r>
        </a:p>
      </xdr:txBody>
    </xdr:sp>
    <xdr:clientData/>
  </xdr:twoCellAnchor>
  <xdr:twoCellAnchor>
    <xdr:from>
      <xdr:col>4</xdr:col>
      <xdr:colOff>21981</xdr:colOff>
      <xdr:row>203</xdr:row>
      <xdr:rowOff>505557</xdr:rowOff>
    </xdr:from>
    <xdr:to>
      <xdr:col>4</xdr:col>
      <xdr:colOff>431556</xdr:colOff>
      <xdr:row>203</xdr:row>
      <xdr:rowOff>791307</xdr:rowOff>
    </xdr:to>
    <xdr:sp macro="" textlink="">
      <xdr:nvSpPr>
        <xdr:cNvPr id="315" name="TextBox 314">
          <a:hlinkClick xmlns:r="http://schemas.openxmlformats.org/officeDocument/2006/relationships" r:id="rId50"/>
          <a:extLst>
            <a:ext uri="{FF2B5EF4-FFF2-40B4-BE49-F238E27FC236}">
              <a16:creationId xmlns:a16="http://schemas.microsoft.com/office/drawing/2014/main" id="{00000000-0008-0000-0700-00003B010000}"/>
            </a:ext>
          </a:extLst>
        </xdr:cNvPr>
        <xdr:cNvSpPr txBox="1"/>
      </xdr:nvSpPr>
      <xdr:spPr>
        <a:xfrm>
          <a:off x="8323385" y="88260115"/>
          <a:ext cx="40957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800" b="0" i="0" u="sng" strike="noStrike">
              <a:solidFill>
                <a:srgbClr val="0000FF"/>
              </a:solidFill>
              <a:latin typeface="Calibri"/>
            </a:rPr>
            <a:t>Back to Form</a:t>
          </a:r>
        </a:p>
      </xdr:txBody>
    </xdr:sp>
    <xdr:clientData/>
  </xdr:twoCellAnchor>
  <xdr:twoCellAnchor>
    <xdr:from>
      <xdr:col>4</xdr:col>
      <xdr:colOff>21981</xdr:colOff>
      <xdr:row>204</xdr:row>
      <xdr:rowOff>490904</xdr:rowOff>
    </xdr:from>
    <xdr:to>
      <xdr:col>4</xdr:col>
      <xdr:colOff>431556</xdr:colOff>
      <xdr:row>204</xdr:row>
      <xdr:rowOff>776654</xdr:rowOff>
    </xdr:to>
    <xdr:sp macro="" textlink="">
      <xdr:nvSpPr>
        <xdr:cNvPr id="316" name="TextBox 315">
          <a:hlinkClick xmlns:r="http://schemas.openxmlformats.org/officeDocument/2006/relationships" r:id="rId51"/>
          <a:extLst>
            <a:ext uri="{FF2B5EF4-FFF2-40B4-BE49-F238E27FC236}">
              <a16:creationId xmlns:a16="http://schemas.microsoft.com/office/drawing/2014/main" id="{00000000-0008-0000-0700-00003C010000}"/>
            </a:ext>
          </a:extLst>
        </xdr:cNvPr>
        <xdr:cNvSpPr txBox="1"/>
      </xdr:nvSpPr>
      <xdr:spPr>
        <a:xfrm>
          <a:off x="8323385" y="89630250"/>
          <a:ext cx="40957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800" b="0" i="0" u="sng" strike="noStrike">
              <a:solidFill>
                <a:srgbClr val="0000FF"/>
              </a:solidFill>
              <a:latin typeface="Calibri"/>
            </a:rPr>
            <a:t>Back to Form</a:t>
          </a:r>
        </a:p>
      </xdr:txBody>
    </xdr:sp>
    <xdr:clientData/>
  </xdr:twoCellAnchor>
  <xdr:twoCellAnchor>
    <xdr:from>
      <xdr:col>4</xdr:col>
      <xdr:colOff>21981</xdr:colOff>
      <xdr:row>210</xdr:row>
      <xdr:rowOff>227135</xdr:rowOff>
    </xdr:from>
    <xdr:to>
      <xdr:col>4</xdr:col>
      <xdr:colOff>431556</xdr:colOff>
      <xdr:row>210</xdr:row>
      <xdr:rowOff>512885</xdr:rowOff>
    </xdr:to>
    <xdr:sp macro="" textlink="">
      <xdr:nvSpPr>
        <xdr:cNvPr id="317" name="TextBox 316">
          <a:hlinkClick xmlns:r="http://schemas.openxmlformats.org/officeDocument/2006/relationships" r:id="rId52"/>
          <a:extLst>
            <a:ext uri="{FF2B5EF4-FFF2-40B4-BE49-F238E27FC236}">
              <a16:creationId xmlns:a16="http://schemas.microsoft.com/office/drawing/2014/main" id="{00000000-0008-0000-0700-00003D010000}"/>
            </a:ext>
          </a:extLst>
        </xdr:cNvPr>
        <xdr:cNvSpPr txBox="1"/>
      </xdr:nvSpPr>
      <xdr:spPr>
        <a:xfrm>
          <a:off x="8323385" y="90663347"/>
          <a:ext cx="40957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800" b="0" i="0" u="sng" strike="noStrike">
              <a:solidFill>
                <a:srgbClr val="0000FF"/>
              </a:solidFill>
              <a:latin typeface="Calibri"/>
            </a:rPr>
            <a:t>Back to Form</a:t>
          </a:r>
        </a:p>
      </xdr:txBody>
    </xdr:sp>
    <xdr:clientData/>
  </xdr:twoCellAnchor>
  <xdr:twoCellAnchor>
    <xdr:from>
      <xdr:col>4</xdr:col>
      <xdr:colOff>21981</xdr:colOff>
      <xdr:row>211</xdr:row>
      <xdr:rowOff>322384</xdr:rowOff>
    </xdr:from>
    <xdr:to>
      <xdr:col>4</xdr:col>
      <xdr:colOff>431556</xdr:colOff>
      <xdr:row>211</xdr:row>
      <xdr:rowOff>608134</xdr:rowOff>
    </xdr:to>
    <xdr:sp macro="" textlink="">
      <xdr:nvSpPr>
        <xdr:cNvPr id="318" name="TextBox 317">
          <a:hlinkClick xmlns:r="http://schemas.openxmlformats.org/officeDocument/2006/relationships" r:id="rId53"/>
          <a:extLst>
            <a:ext uri="{FF2B5EF4-FFF2-40B4-BE49-F238E27FC236}">
              <a16:creationId xmlns:a16="http://schemas.microsoft.com/office/drawing/2014/main" id="{00000000-0008-0000-0700-00003E010000}"/>
            </a:ext>
          </a:extLst>
        </xdr:cNvPr>
        <xdr:cNvSpPr txBox="1"/>
      </xdr:nvSpPr>
      <xdr:spPr>
        <a:xfrm>
          <a:off x="8323385" y="91513269"/>
          <a:ext cx="40957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800" b="0" i="0" u="sng" strike="noStrike">
              <a:solidFill>
                <a:srgbClr val="0000FF"/>
              </a:solidFill>
              <a:latin typeface="Calibri"/>
            </a:rPr>
            <a:t>Back to Form</a:t>
          </a:r>
        </a:p>
      </xdr:txBody>
    </xdr:sp>
    <xdr:clientData/>
  </xdr:twoCellAnchor>
  <xdr:twoCellAnchor>
    <xdr:from>
      <xdr:col>4</xdr:col>
      <xdr:colOff>21981</xdr:colOff>
      <xdr:row>212</xdr:row>
      <xdr:rowOff>432288</xdr:rowOff>
    </xdr:from>
    <xdr:to>
      <xdr:col>4</xdr:col>
      <xdr:colOff>431556</xdr:colOff>
      <xdr:row>212</xdr:row>
      <xdr:rowOff>718038</xdr:rowOff>
    </xdr:to>
    <xdr:sp macro="" textlink="">
      <xdr:nvSpPr>
        <xdr:cNvPr id="319" name="TextBox 318">
          <a:hlinkClick xmlns:r="http://schemas.openxmlformats.org/officeDocument/2006/relationships" r:id="rId54"/>
          <a:extLst>
            <a:ext uri="{FF2B5EF4-FFF2-40B4-BE49-F238E27FC236}">
              <a16:creationId xmlns:a16="http://schemas.microsoft.com/office/drawing/2014/main" id="{00000000-0008-0000-0700-00003F010000}"/>
            </a:ext>
          </a:extLst>
        </xdr:cNvPr>
        <xdr:cNvSpPr txBox="1"/>
      </xdr:nvSpPr>
      <xdr:spPr>
        <a:xfrm>
          <a:off x="8323385" y="94715134"/>
          <a:ext cx="40957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800" b="0" i="0" u="sng" strike="noStrike">
              <a:solidFill>
                <a:srgbClr val="0000FF"/>
              </a:solidFill>
              <a:latin typeface="Calibri"/>
            </a:rPr>
            <a:t>Back to Form</a:t>
          </a:r>
        </a:p>
      </xdr:txBody>
    </xdr:sp>
    <xdr:clientData/>
  </xdr:twoCellAnchor>
  <xdr:twoCellAnchor>
    <xdr:from>
      <xdr:col>4</xdr:col>
      <xdr:colOff>21981</xdr:colOff>
      <xdr:row>213</xdr:row>
      <xdr:rowOff>342900</xdr:rowOff>
    </xdr:from>
    <xdr:to>
      <xdr:col>4</xdr:col>
      <xdr:colOff>431556</xdr:colOff>
      <xdr:row>213</xdr:row>
      <xdr:rowOff>628650</xdr:rowOff>
    </xdr:to>
    <xdr:sp macro="" textlink="">
      <xdr:nvSpPr>
        <xdr:cNvPr id="320" name="TextBox 319">
          <a:hlinkClick xmlns:r="http://schemas.openxmlformats.org/officeDocument/2006/relationships" r:id="rId55"/>
          <a:extLst>
            <a:ext uri="{FF2B5EF4-FFF2-40B4-BE49-F238E27FC236}">
              <a16:creationId xmlns:a16="http://schemas.microsoft.com/office/drawing/2014/main" id="{00000000-0008-0000-0700-000040010000}"/>
            </a:ext>
          </a:extLst>
        </xdr:cNvPr>
        <xdr:cNvSpPr txBox="1"/>
      </xdr:nvSpPr>
      <xdr:spPr>
        <a:xfrm>
          <a:off x="8323385" y="95863996"/>
          <a:ext cx="40957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800" b="0" i="0" u="sng" strike="noStrike">
              <a:solidFill>
                <a:srgbClr val="0000FF"/>
              </a:solidFill>
              <a:latin typeface="Calibri"/>
            </a:rPr>
            <a:t>Back to Form</a:t>
          </a:r>
        </a:p>
      </xdr:txBody>
    </xdr:sp>
    <xdr:clientData/>
  </xdr:twoCellAnchor>
  <xdr:twoCellAnchor>
    <xdr:from>
      <xdr:col>4</xdr:col>
      <xdr:colOff>21981</xdr:colOff>
      <xdr:row>214</xdr:row>
      <xdr:rowOff>429357</xdr:rowOff>
    </xdr:from>
    <xdr:to>
      <xdr:col>4</xdr:col>
      <xdr:colOff>431556</xdr:colOff>
      <xdr:row>214</xdr:row>
      <xdr:rowOff>715107</xdr:rowOff>
    </xdr:to>
    <xdr:sp macro="" textlink="">
      <xdr:nvSpPr>
        <xdr:cNvPr id="321" name="TextBox 320">
          <a:hlinkClick xmlns:r="http://schemas.openxmlformats.org/officeDocument/2006/relationships" r:id="rId56"/>
          <a:extLst>
            <a:ext uri="{FF2B5EF4-FFF2-40B4-BE49-F238E27FC236}">
              <a16:creationId xmlns:a16="http://schemas.microsoft.com/office/drawing/2014/main" id="{00000000-0008-0000-0700-000041010000}"/>
            </a:ext>
          </a:extLst>
        </xdr:cNvPr>
        <xdr:cNvSpPr txBox="1"/>
      </xdr:nvSpPr>
      <xdr:spPr>
        <a:xfrm>
          <a:off x="8323385" y="96902953"/>
          <a:ext cx="40957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800" b="0" i="0" u="sng" strike="noStrike">
              <a:solidFill>
                <a:srgbClr val="0000FF"/>
              </a:solidFill>
              <a:latin typeface="Calibri"/>
            </a:rPr>
            <a:t>Back to Form</a:t>
          </a:r>
        </a:p>
      </xdr:txBody>
    </xdr:sp>
    <xdr:clientData/>
  </xdr:twoCellAnchor>
  <xdr:twoCellAnchor>
    <xdr:from>
      <xdr:col>4</xdr:col>
      <xdr:colOff>21981</xdr:colOff>
      <xdr:row>215</xdr:row>
      <xdr:rowOff>442546</xdr:rowOff>
    </xdr:from>
    <xdr:to>
      <xdr:col>4</xdr:col>
      <xdr:colOff>431556</xdr:colOff>
      <xdr:row>215</xdr:row>
      <xdr:rowOff>728296</xdr:rowOff>
    </xdr:to>
    <xdr:sp macro="" textlink="">
      <xdr:nvSpPr>
        <xdr:cNvPr id="322" name="TextBox 321">
          <a:hlinkClick xmlns:r="http://schemas.openxmlformats.org/officeDocument/2006/relationships" r:id="rId57"/>
          <a:extLst>
            <a:ext uri="{FF2B5EF4-FFF2-40B4-BE49-F238E27FC236}">
              <a16:creationId xmlns:a16="http://schemas.microsoft.com/office/drawing/2014/main" id="{00000000-0008-0000-0700-000042010000}"/>
            </a:ext>
          </a:extLst>
        </xdr:cNvPr>
        <xdr:cNvSpPr txBox="1"/>
      </xdr:nvSpPr>
      <xdr:spPr>
        <a:xfrm>
          <a:off x="8323385" y="98037161"/>
          <a:ext cx="40957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800" b="0" i="0" u="sng" strike="noStrike">
              <a:solidFill>
                <a:srgbClr val="0000FF"/>
              </a:solidFill>
              <a:latin typeface="Calibri"/>
            </a:rPr>
            <a:t>Back to Form</a:t>
          </a:r>
        </a:p>
      </xdr:txBody>
    </xdr:sp>
    <xdr:clientData/>
  </xdr:twoCellAnchor>
  <xdr:twoCellAnchor>
    <xdr:from>
      <xdr:col>4</xdr:col>
      <xdr:colOff>50556</xdr:colOff>
      <xdr:row>246</xdr:row>
      <xdr:rowOff>349495</xdr:rowOff>
    </xdr:from>
    <xdr:to>
      <xdr:col>4</xdr:col>
      <xdr:colOff>460131</xdr:colOff>
      <xdr:row>247</xdr:row>
      <xdr:rowOff>425695</xdr:rowOff>
    </xdr:to>
    <xdr:sp macro="" textlink="">
      <xdr:nvSpPr>
        <xdr:cNvPr id="323" name="TextBox 322">
          <a:hlinkClick xmlns:r="http://schemas.openxmlformats.org/officeDocument/2006/relationships" r:id="rId58"/>
          <a:extLst>
            <a:ext uri="{FF2B5EF4-FFF2-40B4-BE49-F238E27FC236}">
              <a16:creationId xmlns:a16="http://schemas.microsoft.com/office/drawing/2014/main" id="{00000000-0008-0000-0700-000043010000}"/>
            </a:ext>
          </a:extLst>
        </xdr:cNvPr>
        <xdr:cNvSpPr txBox="1"/>
      </xdr:nvSpPr>
      <xdr:spPr>
        <a:xfrm>
          <a:off x="8956431" y="108829720"/>
          <a:ext cx="409575" cy="590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800" b="0" i="0" u="sng" strike="noStrike">
              <a:solidFill>
                <a:srgbClr val="0000FF"/>
              </a:solidFill>
              <a:latin typeface="Calibri"/>
            </a:rPr>
            <a:t>Back to Form</a:t>
          </a:r>
        </a:p>
      </xdr:txBody>
    </xdr:sp>
    <xdr:clientData/>
  </xdr:twoCellAnchor>
  <xdr:twoCellAnchor>
    <xdr:from>
      <xdr:col>4</xdr:col>
      <xdr:colOff>50556</xdr:colOff>
      <xdr:row>193</xdr:row>
      <xdr:rowOff>417635</xdr:rowOff>
    </xdr:from>
    <xdr:to>
      <xdr:col>4</xdr:col>
      <xdr:colOff>460131</xdr:colOff>
      <xdr:row>193</xdr:row>
      <xdr:rowOff>703385</xdr:rowOff>
    </xdr:to>
    <xdr:sp macro="" textlink="">
      <xdr:nvSpPr>
        <xdr:cNvPr id="258" name="TextBox 257">
          <a:hlinkClick xmlns:r="http://schemas.openxmlformats.org/officeDocument/2006/relationships" r:id="rId59"/>
          <a:extLst>
            <a:ext uri="{FF2B5EF4-FFF2-40B4-BE49-F238E27FC236}">
              <a16:creationId xmlns:a16="http://schemas.microsoft.com/office/drawing/2014/main" id="{00000000-0008-0000-0700-000002010000}"/>
            </a:ext>
          </a:extLst>
        </xdr:cNvPr>
        <xdr:cNvSpPr txBox="1"/>
      </xdr:nvSpPr>
      <xdr:spPr>
        <a:xfrm>
          <a:off x="8956431" y="82627910"/>
          <a:ext cx="40957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800" b="0" i="0" u="sng" strike="noStrike">
              <a:solidFill>
                <a:srgbClr val="0000FF"/>
              </a:solidFill>
              <a:latin typeface="Calibri"/>
            </a:rPr>
            <a:t>Back to Form</a:t>
          </a:r>
        </a:p>
      </xdr:txBody>
    </xdr:sp>
    <xdr:clientData/>
  </xdr:twoCellAnchor>
  <xdr:twoCellAnchor>
    <xdr:from>
      <xdr:col>4</xdr:col>
      <xdr:colOff>21981</xdr:colOff>
      <xdr:row>221</xdr:row>
      <xdr:rowOff>442546</xdr:rowOff>
    </xdr:from>
    <xdr:to>
      <xdr:col>4</xdr:col>
      <xdr:colOff>431556</xdr:colOff>
      <xdr:row>221</xdr:row>
      <xdr:rowOff>728296</xdr:rowOff>
    </xdr:to>
    <xdr:sp macro="" textlink="">
      <xdr:nvSpPr>
        <xdr:cNvPr id="260" name="TextBox 259">
          <a:hlinkClick xmlns:r="http://schemas.openxmlformats.org/officeDocument/2006/relationships" r:id="rId56"/>
          <a:extLst>
            <a:ext uri="{FF2B5EF4-FFF2-40B4-BE49-F238E27FC236}">
              <a16:creationId xmlns:a16="http://schemas.microsoft.com/office/drawing/2014/main" id="{00000000-0008-0000-0700-000004010000}"/>
            </a:ext>
          </a:extLst>
        </xdr:cNvPr>
        <xdr:cNvSpPr txBox="1"/>
      </xdr:nvSpPr>
      <xdr:spPr>
        <a:xfrm>
          <a:off x="8927856" y="99445396"/>
          <a:ext cx="40957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800" b="0" i="0" u="sng" strike="noStrike">
              <a:solidFill>
                <a:srgbClr val="0000FF"/>
              </a:solidFill>
              <a:latin typeface="Calibri"/>
            </a:rPr>
            <a:t>Back to Form</a:t>
          </a:r>
        </a:p>
      </xdr:txBody>
    </xdr:sp>
    <xdr:clientData/>
  </xdr:twoCellAnchor>
  <xdr:twoCellAnchor>
    <xdr:from>
      <xdr:col>4</xdr:col>
      <xdr:colOff>21981</xdr:colOff>
      <xdr:row>235</xdr:row>
      <xdr:rowOff>244720</xdr:rowOff>
    </xdr:from>
    <xdr:to>
      <xdr:col>4</xdr:col>
      <xdr:colOff>431556</xdr:colOff>
      <xdr:row>235</xdr:row>
      <xdr:rowOff>835270</xdr:rowOff>
    </xdr:to>
    <xdr:sp macro="" textlink="">
      <xdr:nvSpPr>
        <xdr:cNvPr id="261" name="TextBox 260">
          <a:hlinkClick xmlns:r="http://schemas.openxmlformats.org/officeDocument/2006/relationships" r:id="rId60"/>
          <a:extLst>
            <a:ext uri="{FF2B5EF4-FFF2-40B4-BE49-F238E27FC236}">
              <a16:creationId xmlns:a16="http://schemas.microsoft.com/office/drawing/2014/main" id="{00000000-0008-0000-0700-000005010000}"/>
            </a:ext>
          </a:extLst>
        </xdr:cNvPr>
        <xdr:cNvSpPr txBox="1"/>
      </xdr:nvSpPr>
      <xdr:spPr>
        <a:xfrm>
          <a:off x="8927856" y="109267870"/>
          <a:ext cx="409575" cy="590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800" b="0" i="0" u="sng" strike="noStrike">
              <a:solidFill>
                <a:srgbClr val="0000FF"/>
              </a:solidFill>
              <a:latin typeface="Calibri"/>
            </a:rPr>
            <a:t>Back to Form</a:t>
          </a:r>
        </a:p>
      </xdr:txBody>
    </xdr:sp>
    <xdr:clientData/>
  </xdr:twoCellAnchor>
  <xdr:twoCellAnchor>
    <xdr:from>
      <xdr:col>4</xdr:col>
      <xdr:colOff>31506</xdr:colOff>
      <xdr:row>236</xdr:row>
      <xdr:rowOff>178045</xdr:rowOff>
    </xdr:from>
    <xdr:to>
      <xdr:col>4</xdr:col>
      <xdr:colOff>412506</xdr:colOff>
      <xdr:row>236</xdr:row>
      <xdr:rowOff>768595</xdr:rowOff>
    </xdr:to>
    <xdr:sp macro="" textlink="">
      <xdr:nvSpPr>
        <xdr:cNvPr id="269" name="TextBox 268">
          <a:hlinkClick xmlns:r="http://schemas.openxmlformats.org/officeDocument/2006/relationships" r:id="rId61"/>
          <a:extLst>
            <a:ext uri="{FF2B5EF4-FFF2-40B4-BE49-F238E27FC236}">
              <a16:creationId xmlns:a16="http://schemas.microsoft.com/office/drawing/2014/main" id="{00000000-0008-0000-0700-00000D010000}"/>
            </a:ext>
          </a:extLst>
        </xdr:cNvPr>
        <xdr:cNvSpPr txBox="1"/>
      </xdr:nvSpPr>
      <xdr:spPr>
        <a:xfrm>
          <a:off x="8365881" y="107848645"/>
          <a:ext cx="381000" cy="590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800" b="0" i="0" u="sng" strike="noStrike">
              <a:solidFill>
                <a:srgbClr val="0000FF"/>
              </a:solidFill>
              <a:latin typeface="Calibri"/>
            </a:rPr>
            <a:t>Back to Form</a:t>
          </a:r>
        </a:p>
      </xdr:txBody>
    </xdr:sp>
    <xdr:clientData/>
  </xdr:twoCellAnchor>
  <xdr:twoCellAnchor>
    <xdr:from>
      <xdr:col>4</xdr:col>
      <xdr:colOff>21981</xdr:colOff>
      <xdr:row>237</xdr:row>
      <xdr:rowOff>168520</xdr:rowOff>
    </xdr:from>
    <xdr:to>
      <xdr:col>4</xdr:col>
      <xdr:colOff>431556</xdr:colOff>
      <xdr:row>237</xdr:row>
      <xdr:rowOff>590550</xdr:rowOff>
    </xdr:to>
    <xdr:sp macro="" textlink="">
      <xdr:nvSpPr>
        <xdr:cNvPr id="283" name="TextBox 282">
          <a:hlinkClick xmlns:r="http://schemas.openxmlformats.org/officeDocument/2006/relationships" r:id="rId62"/>
          <a:extLst>
            <a:ext uri="{FF2B5EF4-FFF2-40B4-BE49-F238E27FC236}">
              <a16:creationId xmlns:a16="http://schemas.microsoft.com/office/drawing/2014/main" id="{00000000-0008-0000-0700-00001B010000}"/>
            </a:ext>
          </a:extLst>
        </xdr:cNvPr>
        <xdr:cNvSpPr txBox="1"/>
      </xdr:nvSpPr>
      <xdr:spPr>
        <a:xfrm>
          <a:off x="8356356" y="108791620"/>
          <a:ext cx="409575" cy="4220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800" b="0" i="0" u="sng" strike="noStrike">
              <a:solidFill>
                <a:srgbClr val="0000FF"/>
              </a:solidFill>
              <a:latin typeface="Calibri"/>
            </a:rPr>
            <a:t>Back to Form</a:t>
          </a:r>
        </a:p>
      </xdr:txBody>
    </xdr:sp>
    <xdr:clientData/>
  </xdr:twoCellAnchor>
  <xdr:twoCellAnchor>
    <xdr:from>
      <xdr:col>4</xdr:col>
      <xdr:colOff>31506</xdr:colOff>
      <xdr:row>238</xdr:row>
      <xdr:rowOff>330445</xdr:rowOff>
    </xdr:from>
    <xdr:to>
      <xdr:col>4</xdr:col>
      <xdr:colOff>441081</xdr:colOff>
      <xdr:row>238</xdr:row>
      <xdr:rowOff>809625</xdr:rowOff>
    </xdr:to>
    <xdr:sp macro="" textlink="">
      <xdr:nvSpPr>
        <xdr:cNvPr id="326" name="TextBox 325">
          <a:hlinkClick xmlns:r="http://schemas.openxmlformats.org/officeDocument/2006/relationships" r:id="rId63"/>
          <a:extLst>
            <a:ext uri="{FF2B5EF4-FFF2-40B4-BE49-F238E27FC236}">
              <a16:creationId xmlns:a16="http://schemas.microsoft.com/office/drawing/2014/main" id="{00000000-0008-0000-0700-000046010000}"/>
            </a:ext>
          </a:extLst>
        </xdr:cNvPr>
        <xdr:cNvSpPr txBox="1"/>
      </xdr:nvSpPr>
      <xdr:spPr>
        <a:xfrm>
          <a:off x="8365881" y="109715545"/>
          <a:ext cx="409575" cy="4791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800" b="0" i="0" u="sng" strike="noStrike">
              <a:solidFill>
                <a:srgbClr val="0000FF"/>
              </a:solidFill>
              <a:latin typeface="Calibri"/>
            </a:rPr>
            <a:t>Back to Form</a:t>
          </a:r>
        </a:p>
      </xdr:txBody>
    </xdr:sp>
    <xdr:clientData/>
  </xdr:twoCellAnchor>
  <xdr:twoCellAnchor>
    <xdr:from>
      <xdr:col>4</xdr:col>
      <xdr:colOff>17585</xdr:colOff>
      <xdr:row>31</xdr:row>
      <xdr:rowOff>260838</xdr:rowOff>
    </xdr:from>
    <xdr:to>
      <xdr:col>4</xdr:col>
      <xdr:colOff>427160</xdr:colOff>
      <xdr:row>31</xdr:row>
      <xdr:rowOff>546588</xdr:rowOff>
    </xdr:to>
    <xdr:sp macro="" textlink="">
      <xdr:nvSpPr>
        <xdr:cNvPr id="345" name="TextBox 344">
          <a:hlinkClick xmlns:r="http://schemas.openxmlformats.org/officeDocument/2006/relationships" r:id="rId12"/>
          <a:extLst>
            <a:ext uri="{FF2B5EF4-FFF2-40B4-BE49-F238E27FC236}">
              <a16:creationId xmlns:a16="http://schemas.microsoft.com/office/drawing/2014/main" id="{00000000-0008-0000-0700-000059010000}"/>
            </a:ext>
          </a:extLst>
        </xdr:cNvPr>
        <xdr:cNvSpPr txBox="1"/>
      </xdr:nvSpPr>
      <xdr:spPr>
        <a:xfrm>
          <a:off x="8351960" y="13548213"/>
          <a:ext cx="40957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800" b="0" i="0" u="sng" strike="noStrike">
              <a:solidFill>
                <a:srgbClr val="0000FF"/>
              </a:solidFill>
              <a:latin typeface="Calibri"/>
            </a:rPr>
            <a:t>Back to Form</a:t>
          </a:r>
        </a:p>
      </xdr:txBody>
    </xdr:sp>
    <xdr:clientData/>
  </xdr:twoCellAnchor>
  <xdr:twoCellAnchor>
    <xdr:from>
      <xdr:col>4</xdr:col>
      <xdr:colOff>27110</xdr:colOff>
      <xdr:row>201</xdr:row>
      <xdr:rowOff>468923</xdr:rowOff>
    </xdr:from>
    <xdr:to>
      <xdr:col>4</xdr:col>
      <xdr:colOff>436685</xdr:colOff>
      <xdr:row>201</xdr:row>
      <xdr:rowOff>754673</xdr:rowOff>
    </xdr:to>
    <xdr:sp macro="" textlink="">
      <xdr:nvSpPr>
        <xdr:cNvPr id="346" name="TextBox 345">
          <a:hlinkClick xmlns:r="http://schemas.openxmlformats.org/officeDocument/2006/relationships" r:id="rId64"/>
          <a:extLst>
            <a:ext uri="{FF2B5EF4-FFF2-40B4-BE49-F238E27FC236}">
              <a16:creationId xmlns:a16="http://schemas.microsoft.com/office/drawing/2014/main" id="{00000000-0008-0000-0700-00005A010000}"/>
            </a:ext>
          </a:extLst>
        </xdr:cNvPr>
        <xdr:cNvSpPr txBox="1"/>
      </xdr:nvSpPr>
      <xdr:spPr>
        <a:xfrm>
          <a:off x="8361485" y="85136648"/>
          <a:ext cx="40957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800" b="0" i="0" u="sng" strike="noStrike">
              <a:solidFill>
                <a:srgbClr val="0000FF"/>
              </a:solidFill>
              <a:latin typeface="Calibri"/>
            </a:rPr>
            <a:t>Back to Form</a:t>
          </a:r>
        </a:p>
      </xdr:txBody>
    </xdr:sp>
    <xdr:clientData/>
  </xdr:twoCellAnchor>
  <xdr:twoCellAnchor editAs="oneCell">
    <xdr:from>
      <xdr:col>0</xdr:col>
      <xdr:colOff>42345</xdr:colOff>
      <xdr:row>0</xdr:row>
      <xdr:rowOff>42338</xdr:rowOff>
    </xdr:from>
    <xdr:to>
      <xdr:col>2</xdr:col>
      <xdr:colOff>892906</xdr:colOff>
      <xdr:row>0</xdr:row>
      <xdr:rowOff>485851</xdr:rowOff>
    </xdr:to>
    <xdr:pic>
      <xdr:nvPicPr>
        <xdr:cNvPr id="247" name="Picture 246">
          <a:extLst>
            <a:ext uri="{FF2B5EF4-FFF2-40B4-BE49-F238E27FC236}">
              <a16:creationId xmlns:a16="http://schemas.microsoft.com/office/drawing/2014/main" id="{00000000-0008-0000-0700-0000F7000000}"/>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42345" y="42338"/>
          <a:ext cx="1707811" cy="443513"/>
        </a:xfrm>
        <a:prstGeom prst="rect">
          <a:avLst/>
        </a:prstGeom>
      </xdr:spPr>
    </xdr:pic>
    <xdr:clientData/>
  </xdr:twoCellAnchor>
  <xdr:twoCellAnchor editAs="oneCell">
    <xdr:from>
      <xdr:col>0</xdr:col>
      <xdr:colOff>42345</xdr:colOff>
      <xdr:row>20</xdr:row>
      <xdr:rowOff>42338</xdr:rowOff>
    </xdr:from>
    <xdr:to>
      <xdr:col>2</xdr:col>
      <xdr:colOff>892906</xdr:colOff>
      <xdr:row>20</xdr:row>
      <xdr:rowOff>485851</xdr:rowOff>
    </xdr:to>
    <xdr:pic>
      <xdr:nvPicPr>
        <xdr:cNvPr id="249" name="Picture 248">
          <a:extLst>
            <a:ext uri="{FF2B5EF4-FFF2-40B4-BE49-F238E27FC236}">
              <a16:creationId xmlns:a16="http://schemas.microsoft.com/office/drawing/2014/main" id="{00000000-0008-0000-0700-0000F9000000}"/>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42345" y="42338"/>
          <a:ext cx="1707811" cy="443513"/>
        </a:xfrm>
        <a:prstGeom prst="rect">
          <a:avLst/>
        </a:prstGeom>
      </xdr:spPr>
    </xdr:pic>
    <xdr:clientData/>
  </xdr:twoCellAnchor>
  <xdr:twoCellAnchor editAs="oneCell">
    <xdr:from>
      <xdr:col>0</xdr:col>
      <xdr:colOff>42345</xdr:colOff>
      <xdr:row>33</xdr:row>
      <xdr:rowOff>42338</xdr:rowOff>
    </xdr:from>
    <xdr:to>
      <xdr:col>2</xdr:col>
      <xdr:colOff>892906</xdr:colOff>
      <xdr:row>33</xdr:row>
      <xdr:rowOff>485851</xdr:rowOff>
    </xdr:to>
    <xdr:pic>
      <xdr:nvPicPr>
        <xdr:cNvPr id="251" name="Picture 250">
          <a:extLst>
            <a:ext uri="{FF2B5EF4-FFF2-40B4-BE49-F238E27FC236}">
              <a16:creationId xmlns:a16="http://schemas.microsoft.com/office/drawing/2014/main" id="{00000000-0008-0000-0700-0000FB000000}"/>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42345" y="42338"/>
          <a:ext cx="1707811" cy="443513"/>
        </a:xfrm>
        <a:prstGeom prst="rect">
          <a:avLst/>
        </a:prstGeom>
      </xdr:spPr>
    </xdr:pic>
    <xdr:clientData/>
  </xdr:twoCellAnchor>
  <xdr:twoCellAnchor editAs="oneCell">
    <xdr:from>
      <xdr:col>0</xdr:col>
      <xdr:colOff>42345</xdr:colOff>
      <xdr:row>45</xdr:row>
      <xdr:rowOff>42338</xdr:rowOff>
    </xdr:from>
    <xdr:to>
      <xdr:col>2</xdr:col>
      <xdr:colOff>892906</xdr:colOff>
      <xdr:row>45</xdr:row>
      <xdr:rowOff>485851</xdr:rowOff>
    </xdr:to>
    <xdr:pic>
      <xdr:nvPicPr>
        <xdr:cNvPr id="265" name="Picture 264">
          <a:extLst>
            <a:ext uri="{FF2B5EF4-FFF2-40B4-BE49-F238E27FC236}">
              <a16:creationId xmlns:a16="http://schemas.microsoft.com/office/drawing/2014/main" id="{00000000-0008-0000-0700-000009010000}"/>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42345" y="42338"/>
          <a:ext cx="1707811" cy="443513"/>
        </a:xfrm>
        <a:prstGeom prst="rect">
          <a:avLst/>
        </a:prstGeom>
      </xdr:spPr>
    </xdr:pic>
    <xdr:clientData/>
  </xdr:twoCellAnchor>
  <xdr:twoCellAnchor editAs="oneCell">
    <xdr:from>
      <xdr:col>0</xdr:col>
      <xdr:colOff>42345</xdr:colOff>
      <xdr:row>51</xdr:row>
      <xdr:rowOff>42338</xdr:rowOff>
    </xdr:from>
    <xdr:to>
      <xdr:col>2</xdr:col>
      <xdr:colOff>892906</xdr:colOff>
      <xdr:row>51</xdr:row>
      <xdr:rowOff>485851</xdr:rowOff>
    </xdr:to>
    <xdr:pic>
      <xdr:nvPicPr>
        <xdr:cNvPr id="266" name="Picture 265">
          <a:extLst>
            <a:ext uri="{FF2B5EF4-FFF2-40B4-BE49-F238E27FC236}">
              <a16:creationId xmlns:a16="http://schemas.microsoft.com/office/drawing/2014/main" id="{00000000-0008-0000-0700-00000A010000}"/>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42345" y="42338"/>
          <a:ext cx="1707811" cy="443513"/>
        </a:xfrm>
        <a:prstGeom prst="rect">
          <a:avLst/>
        </a:prstGeom>
      </xdr:spPr>
    </xdr:pic>
    <xdr:clientData/>
  </xdr:twoCellAnchor>
  <xdr:twoCellAnchor editAs="oneCell">
    <xdr:from>
      <xdr:col>0</xdr:col>
      <xdr:colOff>42345</xdr:colOff>
      <xdr:row>81</xdr:row>
      <xdr:rowOff>42338</xdr:rowOff>
    </xdr:from>
    <xdr:to>
      <xdr:col>2</xdr:col>
      <xdr:colOff>892906</xdr:colOff>
      <xdr:row>81</xdr:row>
      <xdr:rowOff>485851</xdr:rowOff>
    </xdr:to>
    <xdr:pic>
      <xdr:nvPicPr>
        <xdr:cNvPr id="328" name="Picture 327">
          <a:extLst>
            <a:ext uri="{FF2B5EF4-FFF2-40B4-BE49-F238E27FC236}">
              <a16:creationId xmlns:a16="http://schemas.microsoft.com/office/drawing/2014/main" id="{00000000-0008-0000-0700-000048010000}"/>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42345" y="42338"/>
          <a:ext cx="1707811" cy="443513"/>
        </a:xfrm>
        <a:prstGeom prst="rect">
          <a:avLst/>
        </a:prstGeom>
      </xdr:spPr>
    </xdr:pic>
    <xdr:clientData/>
  </xdr:twoCellAnchor>
  <xdr:twoCellAnchor editAs="oneCell">
    <xdr:from>
      <xdr:col>0</xdr:col>
      <xdr:colOff>42345</xdr:colOff>
      <xdr:row>107</xdr:row>
      <xdr:rowOff>42338</xdr:rowOff>
    </xdr:from>
    <xdr:to>
      <xdr:col>2</xdr:col>
      <xdr:colOff>892906</xdr:colOff>
      <xdr:row>107</xdr:row>
      <xdr:rowOff>485851</xdr:rowOff>
    </xdr:to>
    <xdr:pic>
      <xdr:nvPicPr>
        <xdr:cNvPr id="329" name="Picture 328">
          <a:extLst>
            <a:ext uri="{FF2B5EF4-FFF2-40B4-BE49-F238E27FC236}">
              <a16:creationId xmlns:a16="http://schemas.microsoft.com/office/drawing/2014/main" id="{00000000-0008-0000-0700-000049010000}"/>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42345" y="42338"/>
          <a:ext cx="1707811" cy="443513"/>
        </a:xfrm>
        <a:prstGeom prst="rect">
          <a:avLst/>
        </a:prstGeom>
      </xdr:spPr>
    </xdr:pic>
    <xdr:clientData/>
  </xdr:twoCellAnchor>
  <xdr:twoCellAnchor editAs="oneCell">
    <xdr:from>
      <xdr:col>0</xdr:col>
      <xdr:colOff>42345</xdr:colOff>
      <xdr:row>120</xdr:row>
      <xdr:rowOff>42338</xdr:rowOff>
    </xdr:from>
    <xdr:to>
      <xdr:col>2</xdr:col>
      <xdr:colOff>892906</xdr:colOff>
      <xdr:row>120</xdr:row>
      <xdr:rowOff>485851</xdr:rowOff>
    </xdr:to>
    <xdr:pic>
      <xdr:nvPicPr>
        <xdr:cNvPr id="330" name="Picture 329">
          <a:extLst>
            <a:ext uri="{FF2B5EF4-FFF2-40B4-BE49-F238E27FC236}">
              <a16:creationId xmlns:a16="http://schemas.microsoft.com/office/drawing/2014/main" id="{00000000-0008-0000-0700-00004A010000}"/>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42345" y="42338"/>
          <a:ext cx="1707811" cy="443513"/>
        </a:xfrm>
        <a:prstGeom prst="rect">
          <a:avLst/>
        </a:prstGeom>
      </xdr:spPr>
    </xdr:pic>
    <xdr:clientData/>
  </xdr:twoCellAnchor>
  <xdr:twoCellAnchor editAs="oneCell">
    <xdr:from>
      <xdr:col>0</xdr:col>
      <xdr:colOff>42345</xdr:colOff>
      <xdr:row>134</xdr:row>
      <xdr:rowOff>42338</xdr:rowOff>
    </xdr:from>
    <xdr:to>
      <xdr:col>2</xdr:col>
      <xdr:colOff>892906</xdr:colOff>
      <xdr:row>134</xdr:row>
      <xdr:rowOff>485851</xdr:rowOff>
    </xdr:to>
    <xdr:pic>
      <xdr:nvPicPr>
        <xdr:cNvPr id="331" name="Picture 330">
          <a:extLst>
            <a:ext uri="{FF2B5EF4-FFF2-40B4-BE49-F238E27FC236}">
              <a16:creationId xmlns:a16="http://schemas.microsoft.com/office/drawing/2014/main" id="{00000000-0008-0000-0700-00004B010000}"/>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42345" y="42338"/>
          <a:ext cx="1707811" cy="443513"/>
        </a:xfrm>
        <a:prstGeom prst="rect">
          <a:avLst/>
        </a:prstGeom>
      </xdr:spPr>
    </xdr:pic>
    <xdr:clientData/>
  </xdr:twoCellAnchor>
  <xdr:twoCellAnchor editAs="oneCell">
    <xdr:from>
      <xdr:col>0</xdr:col>
      <xdr:colOff>42345</xdr:colOff>
      <xdr:row>149</xdr:row>
      <xdr:rowOff>42338</xdr:rowOff>
    </xdr:from>
    <xdr:to>
      <xdr:col>2</xdr:col>
      <xdr:colOff>892906</xdr:colOff>
      <xdr:row>149</xdr:row>
      <xdr:rowOff>485851</xdr:rowOff>
    </xdr:to>
    <xdr:pic>
      <xdr:nvPicPr>
        <xdr:cNvPr id="332" name="Picture 331">
          <a:extLst>
            <a:ext uri="{FF2B5EF4-FFF2-40B4-BE49-F238E27FC236}">
              <a16:creationId xmlns:a16="http://schemas.microsoft.com/office/drawing/2014/main" id="{00000000-0008-0000-0700-00004C010000}"/>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42345" y="42338"/>
          <a:ext cx="1707811" cy="443513"/>
        </a:xfrm>
        <a:prstGeom prst="rect">
          <a:avLst/>
        </a:prstGeom>
      </xdr:spPr>
    </xdr:pic>
    <xdr:clientData/>
  </xdr:twoCellAnchor>
  <xdr:twoCellAnchor editAs="oneCell">
    <xdr:from>
      <xdr:col>0</xdr:col>
      <xdr:colOff>42345</xdr:colOff>
      <xdr:row>157</xdr:row>
      <xdr:rowOff>42338</xdr:rowOff>
    </xdr:from>
    <xdr:to>
      <xdr:col>2</xdr:col>
      <xdr:colOff>892906</xdr:colOff>
      <xdr:row>157</xdr:row>
      <xdr:rowOff>485851</xdr:rowOff>
    </xdr:to>
    <xdr:pic>
      <xdr:nvPicPr>
        <xdr:cNvPr id="333" name="Picture 332">
          <a:extLst>
            <a:ext uri="{FF2B5EF4-FFF2-40B4-BE49-F238E27FC236}">
              <a16:creationId xmlns:a16="http://schemas.microsoft.com/office/drawing/2014/main" id="{00000000-0008-0000-0700-00004D010000}"/>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42345" y="42338"/>
          <a:ext cx="1707811" cy="443513"/>
        </a:xfrm>
        <a:prstGeom prst="rect">
          <a:avLst/>
        </a:prstGeom>
      </xdr:spPr>
    </xdr:pic>
    <xdr:clientData/>
  </xdr:twoCellAnchor>
  <xdr:twoCellAnchor editAs="oneCell">
    <xdr:from>
      <xdr:col>0</xdr:col>
      <xdr:colOff>42345</xdr:colOff>
      <xdr:row>177</xdr:row>
      <xdr:rowOff>42338</xdr:rowOff>
    </xdr:from>
    <xdr:to>
      <xdr:col>2</xdr:col>
      <xdr:colOff>892906</xdr:colOff>
      <xdr:row>177</xdr:row>
      <xdr:rowOff>485851</xdr:rowOff>
    </xdr:to>
    <xdr:pic>
      <xdr:nvPicPr>
        <xdr:cNvPr id="334" name="Picture 333">
          <a:extLst>
            <a:ext uri="{FF2B5EF4-FFF2-40B4-BE49-F238E27FC236}">
              <a16:creationId xmlns:a16="http://schemas.microsoft.com/office/drawing/2014/main" id="{00000000-0008-0000-0700-00004E010000}"/>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42345" y="42338"/>
          <a:ext cx="1707811" cy="443513"/>
        </a:xfrm>
        <a:prstGeom prst="rect">
          <a:avLst/>
        </a:prstGeom>
      </xdr:spPr>
    </xdr:pic>
    <xdr:clientData/>
  </xdr:twoCellAnchor>
  <xdr:twoCellAnchor editAs="oneCell">
    <xdr:from>
      <xdr:col>0</xdr:col>
      <xdr:colOff>42345</xdr:colOff>
      <xdr:row>196</xdr:row>
      <xdr:rowOff>42338</xdr:rowOff>
    </xdr:from>
    <xdr:to>
      <xdr:col>2</xdr:col>
      <xdr:colOff>892906</xdr:colOff>
      <xdr:row>196</xdr:row>
      <xdr:rowOff>485851</xdr:rowOff>
    </xdr:to>
    <xdr:pic>
      <xdr:nvPicPr>
        <xdr:cNvPr id="335" name="Picture 334">
          <a:extLst>
            <a:ext uri="{FF2B5EF4-FFF2-40B4-BE49-F238E27FC236}">
              <a16:creationId xmlns:a16="http://schemas.microsoft.com/office/drawing/2014/main" id="{00000000-0008-0000-0700-00004F010000}"/>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42345" y="42338"/>
          <a:ext cx="1707811" cy="443513"/>
        </a:xfrm>
        <a:prstGeom prst="rect">
          <a:avLst/>
        </a:prstGeom>
      </xdr:spPr>
    </xdr:pic>
    <xdr:clientData/>
  </xdr:twoCellAnchor>
  <xdr:twoCellAnchor editAs="oneCell">
    <xdr:from>
      <xdr:col>0</xdr:col>
      <xdr:colOff>42345</xdr:colOff>
      <xdr:row>207</xdr:row>
      <xdr:rowOff>42338</xdr:rowOff>
    </xdr:from>
    <xdr:to>
      <xdr:col>2</xdr:col>
      <xdr:colOff>892906</xdr:colOff>
      <xdr:row>207</xdr:row>
      <xdr:rowOff>485851</xdr:rowOff>
    </xdr:to>
    <xdr:pic>
      <xdr:nvPicPr>
        <xdr:cNvPr id="336" name="Picture 335">
          <a:extLst>
            <a:ext uri="{FF2B5EF4-FFF2-40B4-BE49-F238E27FC236}">
              <a16:creationId xmlns:a16="http://schemas.microsoft.com/office/drawing/2014/main" id="{00000000-0008-0000-0700-000050010000}"/>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42345" y="42338"/>
          <a:ext cx="1707811" cy="443513"/>
        </a:xfrm>
        <a:prstGeom prst="rect">
          <a:avLst/>
        </a:prstGeom>
      </xdr:spPr>
    </xdr:pic>
    <xdr:clientData/>
  </xdr:twoCellAnchor>
  <xdr:twoCellAnchor editAs="oneCell">
    <xdr:from>
      <xdr:col>0</xdr:col>
      <xdr:colOff>42345</xdr:colOff>
      <xdr:row>218</xdr:row>
      <xdr:rowOff>42338</xdr:rowOff>
    </xdr:from>
    <xdr:to>
      <xdr:col>2</xdr:col>
      <xdr:colOff>892906</xdr:colOff>
      <xdr:row>218</xdr:row>
      <xdr:rowOff>485851</xdr:rowOff>
    </xdr:to>
    <xdr:pic>
      <xdr:nvPicPr>
        <xdr:cNvPr id="337" name="Picture 336">
          <a:extLst>
            <a:ext uri="{FF2B5EF4-FFF2-40B4-BE49-F238E27FC236}">
              <a16:creationId xmlns:a16="http://schemas.microsoft.com/office/drawing/2014/main" id="{00000000-0008-0000-0700-000051010000}"/>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42345" y="42338"/>
          <a:ext cx="1707811" cy="443513"/>
        </a:xfrm>
        <a:prstGeom prst="rect">
          <a:avLst/>
        </a:prstGeom>
      </xdr:spPr>
    </xdr:pic>
    <xdr:clientData/>
  </xdr:twoCellAnchor>
  <xdr:twoCellAnchor editAs="oneCell">
    <xdr:from>
      <xdr:col>0</xdr:col>
      <xdr:colOff>42345</xdr:colOff>
      <xdr:row>232</xdr:row>
      <xdr:rowOff>42338</xdr:rowOff>
    </xdr:from>
    <xdr:to>
      <xdr:col>2</xdr:col>
      <xdr:colOff>892906</xdr:colOff>
      <xdr:row>232</xdr:row>
      <xdr:rowOff>485851</xdr:rowOff>
    </xdr:to>
    <xdr:pic>
      <xdr:nvPicPr>
        <xdr:cNvPr id="338" name="Picture 337">
          <a:extLst>
            <a:ext uri="{FF2B5EF4-FFF2-40B4-BE49-F238E27FC236}">
              <a16:creationId xmlns:a16="http://schemas.microsoft.com/office/drawing/2014/main" id="{00000000-0008-0000-0700-000052010000}"/>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42345" y="42338"/>
          <a:ext cx="1707811" cy="443513"/>
        </a:xfrm>
        <a:prstGeom prst="rect">
          <a:avLst/>
        </a:prstGeom>
      </xdr:spPr>
    </xdr:pic>
    <xdr:clientData/>
  </xdr:twoCellAnchor>
  <xdr:twoCellAnchor editAs="oneCell">
    <xdr:from>
      <xdr:col>0</xdr:col>
      <xdr:colOff>42345</xdr:colOff>
      <xdr:row>241</xdr:row>
      <xdr:rowOff>42338</xdr:rowOff>
    </xdr:from>
    <xdr:to>
      <xdr:col>2</xdr:col>
      <xdr:colOff>892906</xdr:colOff>
      <xdr:row>241</xdr:row>
      <xdr:rowOff>485851</xdr:rowOff>
    </xdr:to>
    <xdr:pic>
      <xdr:nvPicPr>
        <xdr:cNvPr id="340" name="Picture 339">
          <a:extLst>
            <a:ext uri="{FF2B5EF4-FFF2-40B4-BE49-F238E27FC236}">
              <a16:creationId xmlns:a16="http://schemas.microsoft.com/office/drawing/2014/main" id="{00000000-0008-0000-0700-000054010000}"/>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42345" y="42338"/>
          <a:ext cx="1707811" cy="443513"/>
        </a:xfrm>
        <a:prstGeom prst="rect">
          <a:avLst/>
        </a:prstGeom>
      </xdr:spPr>
    </xdr:pic>
    <xdr:clientData/>
  </xdr:twoCellAnchor>
  <xdr:twoCellAnchor>
    <xdr:from>
      <xdr:col>4</xdr:col>
      <xdr:colOff>50556</xdr:colOff>
      <xdr:row>259</xdr:row>
      <xdr:rowOff>349495</xdr:rowOff>
    </xdr:from>
    <xdr:to>
      <xdr:col>4</xdr:col>
      <xdr:colOff>460131</xdr:colOff>
      <xdr:row>260</xdr:row>
      <xdr:rowOff>425695</xdr:rowOff>
    </xdr:to>
    <xdr:sp macro="" textlink="">
      <xdr:nvSpPr>
        <xdr:cNvPr id="248" name="TextBox 247">
          <a:hlinkClick xmlns:r="http://schemas.openxmlformats.org/officeDocument/2006/relationships" r:id="rId66"/>
          <a:extLst>
            <a:ext uri="{FF2B5EF4-FFF2-40B4-BE49-F238E27FC236}">
              <a16:creationId xmlns:a16="http://schemas.microsoft.com/office/drawing/2014/main" id="{00000000-0008-0000-0700-0000F8000000}"/>
            </a:ext>
          </a:extLst>
        </xdr:cNvPr>
        <xdr:cNvSpPr txBox="1"/>
      </xdr:nvSpPr>
      <xdr:spPr>
        <a:xfrm>
          <a:off x="8968337" y="122960058"/>
          <a:ext cx="409575" cy="5881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800" b="0" i="0" u="sng" strike="noStrike">
              <a:solidFill>
                <a:srgbClr val="0000FF"/>
              </a:solidFill>
              <a:latin typeface="Calibri"/>
            </a:rPr>
            <a:t>Back to Form</a:t>
          </a:r>
        </a:p>
      </xdr:txBody>
    </xdr:sp>
    <xdr:clientData/>
  </xdr:twoCellAnchor>
  <xdr:twoCellAnchor>
    <xdr:from>
      <xdr:col>4</xdr:col>
      <xdr:colOff>21981</xdr:colOff>
      <xdr:row>262</xdr:row>
      <xdr:rowOff>300404</xdr:rowOff>
    </xdr:from>
    <xdr:to>
      <xdr:col>4</xdr:col>
      <xdr:colOff>431556</xdr:colOff>
      <xdr:row>262</xdr:row>
      <xdr:rowOff>586154</xdr:rowOff>
    </xdr:to>
    <xdr:sp macro="" textlink="">
      <xdr:nvSpPr>
        <xdr:cNvPr id="250" name="TextBox 249">
          <a:hlinkClick xmlns:r="http://schemas.openxmlformats.org/officeDocument/2006/relationships" r:id="rId67"/>
          <a:extLst>
            <a:ext uri="{FF2B5EF4-FFF2-40B4-BE49-F238E27FC236}">
              <a16:creationId xmlns:a16="http://schemas.microsoft.com/office/drawing/2014/main" id="{00000000-0008-0000-0700-0000FA000000}"/>
            </a:ext>
          </a:extLst>
        </xdr:cNvPr>
        <xdr:cNvSpPr txBox="1"/>
      </xdr:nvSpPr>
      <xdr:spPr>
        <a:xfrm>
          <a:off x="8939762" y="124184935"/>
          <a:ext cx="40957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800" b="0" i="0" u="sng" strike="noStrike">
              <a:solidFill>
                <a:srgbClr val="0000FF"/>
              </a:solidFill>
              <a:latin typeface="Calibri"/>
            </a:rPr>
            <a:t>Back to Form</a:t>
          </a:r>
        </a:p>
      </xdr:txBody>
    </xdr:sp>
    <xdr:clientData/>
  </xdr:twoCellAnchor>
  <xdr:twoCellAnchor>
    <xdr:from>
      <xdr:col>4</xdr:col>
      <xdr:colOff>21981</xdr:colOff>
      <xdr:row>263</xdr:row>
      <xdr:rowOff>205154</xdr:rowOff>
    </xdr:from>
    <xdr:to>
      <xdr:col>4</xdr:col>
      <xdr:colOff>431556</xdr:colOff>
      <xdr:row>263</xdr:row>
      <xdr:rowOff>490904</xdr:rowOff>
    </xdr:to>
    <xdr:sp macro="" textlink="">
      <xdr:nvSpPr>
        <xdr:cNvPr id="255" name="TextBox 254">
          <a:hlinkClick xmlns:r="http://schemas.openxmlformats.org/officeDocument/2006/relationships" r:id="rId68"/>
          <a:extLst>
            <a:ext uri="{FF2B5EF4-FFF2-40B4-BE49-F238E27FC236}">
              <a16:creationId xmlns:a16="http://schemas.microsoft.com/office/drawing/2014/main" id="{00000000-0008-0000-0700-0000FF000000}"/>
            </a:ext>
          </a:extLst>
        </xdr:cNvPr>
        <xdr:cNvSpPr txBox="1"/>
      </xdr:nvSpPr>
      <xdr:spPr>
        <a:xfrm>
          <a:off x="8939762" y="125065998"/>
          <a:ext cx="40957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800" b="0" i="0" u="sng" strike="noStrike">
              <a:solidFill>
                <a:srgbClr val="0000FF"/>
              </a:solidFill>
              <a:latin typeface="Calibri"/>
            </a:rPr>
            <a:t>Back to Form</a:t>
          </a:r>
        </a:p>
      </xdr:txBody>
    </xdr:sp>
    <xdr:clientData/>
  </xdr:twoCellAnchor>
  <xdr:oneCellAnchor>
    <xdr:from>
      <xdr:col>0</xdr:col>
      <xdr:colOff>42345</xdr:colOff>
      <xdr:row>254</xdr:row>
      <xdr:rowOff>42338</xdr:rowOff>
    </xdr:from>
    <xdr:ext cx="1707811" cy="443513"/>
    <xdr:pic>
      <xdr:nvPicPr>
        <xdr:cNvPr id="256" name="Picture 255">
          <a:extLst>
            <a:ext uri="{FF2B5EF4-FFF2-40B4-BE49-F238E27FC236}">
              <a16:creationId xmlns:a16="http://schemas.microsoft.com/office/drawing/2014/main" id="{00000000-0008-0000-0700-000000010000}"/>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42345" y="120938401"/>
          <a:ext cx="1707811" cy="443513"/>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46</xdr:row>
      <xdr:rowOff>84667</xdr:rowOff>
    </xdr:from>
    <xdr:to>
      <xdr:col>0</xdr:col>
      <xdr:colOff>1709928</xdr:colOff>
      <xdr:row>47</xdr:row>
      <xdr:rowOff>41346</xdr:rowOff>
    </xdr:to>
    <xdr:pic>
      <xdr:nvPicPr>
        <xdr:cNvPr id="20" name="Picture 19">
          <a:extLst>
            <a:ext uri="{FF2B5EF4-FFF2-40B4-BE49-F238E27FC236}">
              <a16:creationId xmlns:a16="http://schemas.microsoft.com/office/drawing/2014/main" id="{00000000-0008-0000-0800-00001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5176500"/>
          <a:ext cx="1709928" cy="443513"/>
        </a:xfrm>
        <a:prstGeom prst="rect">
          <a:avLst/>
        </a:prstGeom>
      </xdr:spPr>
    </xdr:pic>
    <xdr:clientData/>
  </xdr:twoCellAnchor>
  <xdr:oneCellAnchor>
    <xdr:from>
      <xdr:col>0</xdr:col>
      <xdr:colOff>42345</xdr:colOff>
      <xdr:row>0</xdr:row>
      <xdr:rowOff>42338</xdr:rowOff>
    </xdr:from>
    <xdr:ext cx="1707811" cy="443513"/>
    <xdr:pic>
      <xdr:nvPicPr>
        <xdr:cNvPr id="6" name="Picture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345" y="29988938"/>
          <a:ext cx="1707811" cy="443513"/>
        </a:xfrm>
        <a:prstGeom prst="rect">
          <a:avLst/>
        </a:prstGeom>
      </xdr:spPr>
    </xdr:pic>
    <xdr:clientData/>
  </xdr:oneCellAnchor>
  <xdr:oneCellAnchor>
    <xdr:from>
      <xdr:col>0</xdr:col>
      <xdr:colOff>42345</xdr:colOff>
      <xdr:row>23</xdr:row>
      <xdr:rowOff>42338</xdr:rowOff>
    </xdr:from>
    <xdr:ext cx="1707811" cy="443513"/>
    <xdr:pic>
      <xdr:nvPicPr>
        <xdr:cNvPr id="7" name="Picture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345" y="29988938"/>
          <a:ext cx="1707811" cy="443513"/>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solidFill>
          <a:schemeClr val="lt1"/>
        </a:solidFill>
        <a:ln w="9525" cmpd="sng">
          <a:solidFill>
            <a:schemeClr val="lt1">
              <a:shade val="50000"/>
            </a:schemeClr>
          </a:solidFill>
        </a:ln>
      </a:spPr>
      <a:bodyPr vertOverflow="clip" horzOverflow="clip" wrap="square" rtlCol="0" anchor="t"/>
      <a:lstStyle>
        <a:defPPr algn="ctr">
          <a:defRPr sz="1100" b="0" i="0" u="none" strike="noStrike">
            <a:solidFill>
              <a:srgbClr val="000000"/>
            </a:solidFill>
            <a:latin typeface="Calibri"/>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L184"/>
  <sheetViews>
    <sheetView showGridLines="0" tabSelected="1" view="pageLayout" zoomScaleNormal="100" zoomScaleSheetLayoutView="100" workbookViewId="0">
      <selection activeCell="F133" sqref="F133:G133"/>
    </sheetView>
  </sheetViews>
  <sheetFormatPr defaultColWidth="9.109375" defaultRowHeight="14.4" x14ac:dyDescent="0.3"/>
  <cols>
    <col min="1" max="1" width="25.5546875" customWidth="1"/>
    <col min="2" max="2" width="12.6640625" customWidth="1"/>
    <col min="3" max="3" width="6.5546875" customWidth="1"/>
    <col min="4" max="4" width="9.88671875" customWidth="1"/>
    <col min="5" max="5" width="10" customWidth="1"/>
    <col min="6" max="6" width="2.33203125" customWidth="1"/>
    <col min="7" max="7" width="7.6640625" customWidth="1"/>
    <col min="8" max="8" width="2.33203125" customWidth="1"/>
    <col min="9" max="9" width="7.5546875" customWidth="1"/>
    <col min="10" max="11" width="2.109375" customWidth="1"/>
    <col min="12" max="12" width="2.5546875" customWidth="1"/>
    <col min="13" max="13" width="5.44140625" customWidth="1"/>
    <col min="14" max="29" width="2.33203125" customWidth="1"/>
    <col min="30" max="30" width="0.5546875" customWidth="1"/>
    <col min="31" max="31" width="12.6640625" customWidth="1"/>
    <col min="32" max="32" width="7.5546875" customWidth="1"/>
    <col min="33" max="33" width="2.44140625" customWidth="1"/>
    <col min="34" max="34" width="6.44140625" customWidth="1"/>
    <col min="35" max="35" width="5" customWidth="1"/>
    <col min="36" max="37" width="12.6640625" customWidth="1"/>
  </cols>
  <sheetData>
    <row r="1" spans="1:38" ht="39" customHeight="1" x14ac:dyDescent="0.3">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183" t="s">
        <v>615</v>
      </c>
    </row>
    <row r="3" spans="1:38" ht="15" x14ac:dyDescent="0.3">
      <c r="A3" s="218" t="s">
        <v>441</v>
      </c>
    </row>
    <row r="4" spans="1:38" ht="6.6" customHeight="1" x14ac:dyDescent="0.3">
      <c r="A4" s="218"/>
    </row>
    <row r="5" spans="1:38" x14ac:dyDescent="0.3">
      <c r="A5" s="1" t="s">
        <v>0</v>
      </c>
      <c r="B5" s="324"/>
      <c r="C5" s="324"/>
      <c r="D5" s="324"/>
      <c r="N5" s="1" t="s">
        <v>2</v>
      </c>
      <c r="O5" s="323"/>
      <c r="P5" s="324"/>
      <c r="Q5" s="324"/>
      <c r="R5" s="324"/>
      <c r="S5" s="324"/>
      <c r="T5" s="324"/>
      <c r="U5" s="324"/>
      <c r="V5" s="324"/>
      <c r="W5" s="324"/>
      <c r="X5" s="324"/>
      <c r="Y5" s="324"/>
      <c r="Z5" s="324"/>
      <c r="AA5" s="324"/>
      <c r="AB5" s="324"/>
      <c r="AC5" s="324"/>
      <c r="AD5" s="324"/>
      <c r="AE5" s="196"/>
      <c r="AF5" s="196"/>
      <c r="AG5" s="196"/>
      <c r="AH5" s="196"/>
      <c r="AI5" s="196"/>
      <c r="AJ5" s="1"/>
    </row>
    <row r="6" spans="1:38" ht="7.35" customHeight="1" x14ac:dyDescent="0.3">
      <c r="A6" s="1"/>
      <c r="B6" s="2"/>
      <c r="C6" s="2"/>
      <c r="D6" s="2"/>
      <c r="G6" s="1"/>
      <c r="H6" s="2"/>
      <c r="I6" s="2"/>
      <c r="J6" s="2"/>
      <c r="K6" s="2"/>
      <c r="L6" s="2"/>
      <c r="M6" s="2"/>
      <c r="N6" s="2"/>
      <c r="O6" s="2"/>
      <c r="P6" s="2"/>
      <c r="Q6" s="2"/>
      <c r="R6" s="2"/>
      <c r="S6" s="2"/>
      <c r="T6" s="2"/>
      <c r="U6" s="2"/>
      <c r="V6" s="2"/>
      <c r="W6" s="2"/>
      <c r="X6" s="2"/>
      <c r="Y6" s="2"/>
      <c r="Z6" s="2"/>
      <c r="AA6" s="2"/>
      <c r="AB6" s="2"/>
      <c r="AC6" s="2"/>
      <c r="AD6" s="2"/>
      <c r="AE6" s="2"/>
      <c r="AF6" s="2"/>
      <c r="AG6" s="2"/>
      <c r="AH6" s="2"/>
      <c r="AI6" s="2"/>
      <c r="AJ6" s="1"/>
    </row>
    <row r="7" spans="1:38" x14ac:dyDescent="0.3">
      <c r="A7" s="1" t="s">
        <v>1</v>
      </c>
      <c r="B7" s="324"/>
      <c r="C7" s="324"/>
      <c r="D7" s="324"/>
      <c r="N7" s="1" t="s">
        <v>3</v>
      </c>
      <c r="O7" s="324"/>
      <c r="P7" s="324"/>
      <c r="Q7" s="324"/>
      <c r="R7" s="324"/>
      <c r="S7" s="324"/>
      <c r="T7" s="324"/>
      <c r="U7" s="324"/>
      <c r="V7" s="324"/>
      <c r="W7" s="324"/>
      <c r="X7" s="324"/>
      <c r="Y7" s="324"/>
      <c r="Z7" s="324"/>
      <c r="AA7" s="324"/>
      <c r="AB7" s="324"/>
      <c r="AC7" s="324"/>
      <c r="AD7" s="324"/>
      <c r="AJ7" s="1"/>
      <c r="AK7" s="197"/>
    </row>
    <row r="8" spans="1:38" ht="7.35" customHeight="1" x14ac:dyDescent="0.3">
      <c r="A8" s="1"/>
      <c r="B8" s="2"/>
      <c r="C8" s="2"/>
      <c r="D8" s="2"/>
      <c r="G8" s="1"/>
      <c r="H8" s="2"/>
      <c r="I8" s="2"/>
      <c r="J8" s="2"/>
      <c r="K8" s="2"/>
      <c r="L8" s="2"/>
      <c r="M8" s="2"/>
      <c r="N8" s="2"/>
      <c r="O8" s="2"/>
      <c r="P8" s="2"/>
      <c r="Q8" s="2"/>
      <c r="R8" s="2"/>
      <c r="S8" s="2"/>
      <c r="T8" s="2"/>
      <c r="U8" s="2"/>
      <c r="V8" s="2"/>
      <c r="W8" s="2"/>
      <c r="X8" s="2"/>
      <c r="Y8" s="2"/>
      <c r="Z8" s="2"/>
      <c r="AA8" s="2"/>
      <c r="AB8" s="2"/>
      <c r="AC8" s="2"/>
      <c r="AD8" s="2"/>
      <c r="AE8" s="2"/>
      <c r="AF8" s="2"/>
      <c r="AG8" s="2"/>
      <c r="AH8" s="2"/>
      <c r="AI8" s="2"/>
      <c r="AJ8" s="1"/>
      <c r="AK8" s="197"/>
    </row>
    <row r="9" spans="1:38" ht="15" customHeight="1" x14ac:dyDescent="0.3">
      <c r="A9" s="1" t="s">
        <v>54</v>
      </c>
      <c r="B9" s="324"/>
      <c r="C9" s="324"/>
      <c r="D9" s="324"/>
      <c r="G9" s="1"/>
      <c r="H9" s="2"/>
      <c r="I9" s="2"/>
      <c r="J9" s="2"/>
      <c r="K9" s="2"/>
      <c r="L9" s="2"/>
      <c r="M9" s="2"/>
      <c r="N9" s="1" t="s">
        <v>55</v>
      </c>
      <c r="O9" s="324"/>
      <c r="P9" s="324"/>
      <c r="Q9" s="324"/>
      <c r="R9" s="324"/>
      <c r="S9" s="324"/>
      <c r="T9" s="324"/>
      <c r="U9" s="324"/>
      <c r="V9" s="324"/>
      <c r="W9" s="324"/>
      <c r="X9" s="324"/>
      <c r="Y9" s="324"/>
      <c r="Z9" s="324"/>
      <c r="AA9" s="324"/>
      <c r="AB9" s="324"/>
      <c r="AC9" s="324"/>
      <c r="AD9" s="324"/>
      <c r="AJ9" s="1"/>
      <c r="AK9" s="197"/>
    </row>
    <row r="10" spans="1:38" ht="6.6" customHeight="1" x14ac:dyDescent="0.3">
      <c r="A10" s="1"/>
      <c r="B10" s="2"/>
      <c r="C10" s="2"/>
      <c r="D10" s="2"/>
      <c r="G10" s="1"/>
      <c r="H10" s="2"/>
      <c r="I10" s="2"/>
      <c r="J10" s="2"/>
      <c r="K10" s="2"/>
      <c r="L10" s="2"/>
      <c r="M10" s="2"/>
      <c r="N10" s="1"/>
      <c r="O10" s="1"/>
      <c r="P10" s="1"/>
      <c r="Q10" s="1"/>
      <c r="R10" s="1"/>
      <c r="S10" s="1"/>
      <c r="T10" s="1"/>
      <c r="U10" s="1"/>
      <c r="V10" s="1"/>
      <c r="W10" s="1"/>
      <c r="X10" s="1"/>
      <c r="Y10" s="1"/>
      <c r="Z10" s="1"/>
      <c r="AA10" s="1"/>
      <c r="AB10" s="1"/>
      <c r="AC10" s="1"/>
      <c r="AD10" s="1"/>
      <c r="AE10" s="2"/>
      <c r="AF10" s="2"/>
      <c r="AG10" s="2"/>
      <c r="AH10" s="2"/>
      <c r="AI10" s="2"/>
      <c r="AJ10" s="1"/>
      <c r="AK10" s="197"/>
    </row>
    <row r="11" spans="1:38" ht="15" customHeight="1" x14ac:dyDescent="0.3">
      <c r="A11" s="1" t="s">
        <v>65</v>
      </c>
      <c r="B11" s="324"/>
      <c r="C11" s="324"/>
      <c r="D11" s="324"/>
      <c r="G11" s="1"/>
      <c r="H11" s="2"/>
      <c r="I11" s="2"/>
      <c r="J11" s="2"/>
      <c r="K11" s="2"/>
      <c r="L11" s="2"/>
      <c r="M11" s="2"/>
      <c r="N11" s="1" t="s">
        <v>4</v>
      </c>
      <c r="O11" s="324"/>
      <c r="P11" s="324"/>
      <c r="Q11" s="324"/>
      <c r="R11" s="324"/>
      <c r="S11" s="324"/>
      <c r="T11" s="324"/>
      <c r="U11" s="324"/>
      <c r="V11" s="324"/>
      <c r="W11" s="324"/>
      <c r="X11" s="324"/>
      <c r="Y11" s="324"/>
      <c r="Z11" s="324"/>
      <c r="AA11" s="324"/>
      <c r="AB11" s="324"/>
      <c r="AC11" s="324"/>
      <c r="AD11" s="324"/>
      <c r="AJ11" s="1"/>
      <c r="AK11" s="197"/>
    </row>
    <row r="12" spans="1:38" ht="5.85" customHeight="1" x14ac:dyDescent="0.3">
      <c r="A12" s="1"/>
      <c r="B12" s="2"/>
      <c r="C12" s="2"/>
      <c r="D12" s="2"/>
      <c r="G12" s="1"/>
      <c r="H12" s="2"/>
      <c r="I12" s="2"/>
      <c r="J12" s="2"/>
      <c r="K12" s="2"/>
      <c r="L12" s="2"/>
      <c r="M12" s="2"/>
      <c r="N12" s="1"/>
      <c r="O12" s="1"/>
      <c r="P12" s="1"/>
      <c r="Q12" s="1"/>
      <c r="R12" s="1"/>
      <c r="S12" s="1"/>
      <c r="T12" s="1"/>
      <c r="U12" s="1"/>
      <c r="V12" s="1"/>
      <c r="W12" s="1"/>
      <c r="X12" s="1"/>
      <c r="Y12" s="1"/>
      <c r="Z12" s="1"/>
      <c r="AA12" s="1"/>
      <c r="AB12" s="1"/>
      <c r="AC12" s="1"/>
      <c r="AD12" s="1"/>
      <c r="AE12" s="2"/>
      <c r="AF12" s="2"/>
      <c r="AG12" s="2"/>
      <c r="AH12" s="2"/>
      <c r="AI12" s="2"/>
      <c r="AJ12" s="1"/>
      <c r="AK12" s="197"/>
    </row>
    <row r="13" spans="1:38" ht="15" customHeight="1" x14ac:dyDescent="0.3">
      <c r="A13" s="1" t="s">
        <v>66</v>
      </c>
      <c r="B13" s="324"/>
      <c r="C13" s="324"/>
      <c r="D13" s="324"/>
      <c r="G13" s="1"/>
      <c r="H13" s="2"/>
      <c r="I13" s="2"/>
      <c r="J13" s="2"/>
      <c r="K13" s="2"/>
      <c r="L13" s="2"/>
      <c r="M13" s="2"/>
      <c r="N13" s="1" t="s">
        <v>595</v>
      </c>
      <c r="O13" s="324"/>
      <c r="P13" s="324"/>
      <c r="Q13" s="324"/>
      <c r="R13" s="324"/>
      <c r="S13" s="324"/>
      <c r="T13" s="324"/>
      <c r="U13" s="324"/>
      <c r="V13" s="324"/>
      <c r="W13" s="324"/>
      <c r="X13" s="324"/>
      <c r="Y13" s="324"/>
      <c r="Z13" s="324"/>
      <c r="AA13" s="324"/>
      <c r="AB13" s="324"/>
      <c r="AC13" s="324"/>
      <c r="AD13" s="324"/>
      <c r="AJ13" s="1"/>
      <c r="AK13" s="197"/>
    </row>
    <row r="14" spans="1:38" ht="7.35" customHeight="1" x14ac:dyDescent="0.3">
      <c r="A14" s="1"/>
      <c r="B14" s="2"/>
      <c r="C14" s="2"/>
      <c r="D14" s="2"/>
      <c r="G14" s="1"/>
      <c r="H14" s="2"/>
      <c r="I14" s="2"/>
      <c r="J14" s="2"/>
      <c r="K14" s="2"/>
      <c r="L14" s="2"/>
      <c r="M14" s="2"/>
      <c r="N14" s="1"/>
      <c r="O14" s="2"/>
      <c r="P14" s="2"/>
      <c r="Q14" s="2"/>
      <c r="R14" s="2"/>
      <c r="S14" s="2"/>
      <c r="T14" s="2"/>
      <c r="U14" s="2"/>
      <c r="V14" s="2"/>
      <c r="W14" s="2"/>
      <c r="X14" s="2"/>
      <c r="Y14" s="2"/>
      <c r="Z14" s="2"/>
      <c r="AA14" s="2"/>
      <c r="AB14" s="2"/>
      <c r="AC14" s="2"/>
      <c r="AD14" s="2"/>
      <c r="AJ14" s="1"/>
      <c r="AK14" s="197"/>
    </row>
    <row r="15" spans="1:38" ht="15" customHeight="1" x14ac:dyDescent="0.3">
      <c r="A15" s="1" t="s">
        <v>611</v>
      </c>
      <c r="B15" s="324"/>
      <c r="C15" s="324"/>
      <c r="D15" s="324"/>
      <c r="G15" s="1"/>
      <c r="H15" s="2"/>
      <c r="I15" s="2"/>
      <c r="J15" s="2"/>
      <c r="K15" s="2"/>
      <c r="L15" s="2"/>
      <c r="M15" s="2"/>
      <c r="N15" s="1" t="s">
        <v>50</v>
      </c>
      <c r="O15" s="324"/>
      <c r="P15" s="324"/>
      <c r="Q15" s="324"/>
      <c r="R15" s="324"/>
      <c r="S15" s="324"/>
      <c r="T15" s="324"/>
      <c r="U15" s="324"/>
      <c r="V15" s="324"/>
      <c r="W15" s="324"/>
      <c r="X15" s="324"/>
      <c r="Y15" s="324"/>
      <c r="Z15" s="324"/>
      <c r="AA15" s="324"/>
      <c r="AB15" s="324"/>
      <c r="AC15" s="324"/>
      <c r="AD15" s="324"/>
      <c r="AJ15" s="1"/>
      <c r="AK15" s="197"/>
    </row>
    <row r="16" spans="1:38" ht="72" customHeight="1" x14ac:dyDescent="0.3">
      <c r="L16" s="189"/>
      <c r="M16" s="188"/>
      <c r="N16" s="188"/>
      <c r="O16" s="188"/>
      <c r="P16" s="188"/>
      <c r="Q16" s="188"/>
      <c r="R16" s="188"/>
      <c r="S16" s="188"/>
      <c r="T16" s="188"/>
      <c r="U16" s="188"/>
      <c r="V16" s="188"/>
      <c r="W16" s="188"/>
      <c r="X16" s="188"/>
      <c r="Y16" s="188"/>
      <c r="Z16" s="188"/>
      <c r="AA16" s="188"/>
      <c r="AB16" s="188"/>
      <c r="AC16" s="188"/>
      <c r="AD16" s="190"/>
      <c r="AE16" s="188"/>
      <c r="AF16" s="188"/>
      <c r="AG16" s="188"/>
      <c r="AH16" s="188"/>
      <c r="AI16" s="198"/>
      <c r="AJ16" s="188"/>
      <c r="AK16" s="188"/>
      <c r="AL16" s="188"/>
    </row>
    <row r="18" spans="4:31" x14ac:dyDescent="0.3">
      <c r="D18" s="5"/>
      <c r="E18" s="4"/>
      <c r="F18" s="4"/>
      <c r="G18" s="3"/>
      <c r="H18" s="3"/>
      <c r="I18" s="3"/>
      <c r="J18" s="3"/>
      <c r="K18" s="3"/>
      <c r="L18" s="3"/>
      <c r="M18" s="3"/>
      <c r="N18" s="3"/>
      <c r="O18" s="3"/>
      <c r="P18" s="3"/>
      <c r="Q18" s="3"/>
      <c r="R18" s="3"/>
      <c r="S18" s="3"/>
      <c r="T18" s="3"/>
      <c r="U18" s="3"/>
      <c r="V18" s="3"/>
      <c r="W18" s="3"/>
      <c r="X18" s="3"/>
      <c r="Y18" s="3"/>
      <c r="Z18" s="3"/>
      <c r="AA18" s="3"/>
      <c r="AB18" s="3"/>
      <c r="AC18" s="3"/>
      <c r="AD18" s="3"/>
      <c r="AE18" s="3"/>
    </row>
    <row r="23" spans="4:31" ht="14.25" customHeight="1" x14ac:dyDescent="0.3"/>
    <row r="24" spans="4:31" ht="14.25" customHeight="1" x14ac:dyDescent="0.3"/>
    <row r="25" spans="4:31" ht="14.25" customHeight="1" x14ac:dyDescent="0.3"/>
    <row r="26" spans="4:31" ht="14.25" customHeight="1" x14ac:dyDescent="0.3"/>
    <row r="27" spans="4:31" ht="14.25" customHeight="1" x14ac:dyDescent="0.3"/>
    <row r="28" spans="4:31" ht="14.25" customHeight="1" x14ac:dyDescent="0.3"/>
    <row r="29" spans="4:31" ht="14.25" customHeight="1" x14ac:dyDescent="0.3"/>
    <row r="30" spans="4:31" ht="14.25" customHeight="1" x14ac:dyDescent="0.3"/>
    <row r="31" spans="4:31" ht="14.25" customHeight="1" x14ac:dyDescent="0.3"/>
    <row r="32" spans="4:31" ht="14.25" customHeight="1" x14ac:dyDescent="0.3"/>
    <row r="33" spans="1:35" ht="14.25" customHeight="1" x14ac:dyDescent="0.3"/>
    <row r="34" spans="1:35" ht="14.25" customHeight="1" x14ac:dyDescent="0.3"/>
    <row r="35" spans="1:35" ht="14.25" customHeight="1" x14ac:dyDescent="0.3"/>
    <row r="36" spans="1:35" ht="15" customHeight="1" x14ac:dyDescent="0.3">
      <c r="A36" s="1" t="s">
        <v>56</v>
      </c>
      <c r="B36" s="53" t="s">
        <v>64</v>
      </c>
      <c r="C36" s="51"/>
      <c r="N36" s="1" t="s">
        <v>51</v>
      </c>
      <c r="O36" s="295"/>
      <c r="P36" s="296"/>
      <c r="Q36" s="296"/>
      <c r="R36" s="296"/>
      <c r="S36" s="297"/>
      <c r="T36" s="1"/>
      <c r="U36" s="1"/>
      <c r="V36" s="1"/>
      <c r="W36" s="1"/>
      <c r="X36" s="1"/>
      <c r="Y36" s="1"/>
      <c r="Z36" s="1"/>
      <c r="AA36" s="1"/>
      <c r="AB36" s="1"/>
      <c r="AC36" s="1"/>
      <c r="AD36" s="1"/>
    </row>
    <row r="37" spans="1:35" ht="32.1" customHeight="1" x14ac:dyDescent="0.3">
      <c r="A37" s="305" t="s">
        <v>180</v>
      </c>
      <c r="B37" s="305"/>
      <c r="C37" s="305"/>
      <c r="D37" s="305"/>
      <c r="E37" s="305"/>
      <c r="F37" s="305"/>
      <c r="G37" s="305"/>
      <c r="H37" s="305"/>
      <c r="I37" s="194"/>
      <c r="J37" s="194"/>
      <c r="K37" s="194"/>
      <c r="L37" s="194"/>
      <c r="M37" s="194"/>
      <c r="N37" s="194"/>
      <c r="O37" s="194"/>
      <c r="P37" s="194"/>
      <c r="Q37" s="194"/>
      <c r="R37" s="194"/>
      <c r="S37" s="194"/>
      <c r="T37" s="194"/>
      <c r="U37" s="194"/>
      <c r="V37" s="194"/>
      <c r="W37" s="194"/>
      <c r="X37" s="194"/>
      <c r="Y37" s="194"/>
      <c r="Z37" s="194"/>
      <c r="AA37" s="194"/>
      <c r="AB37" s="194"/>
      <c r="AC37" s="194"/>
      <c r="AD37" s="1" t="s">
        <v>217</v>
      </c>
      <c r="AE37" s="194"/>
      <c r="AF37" s="194"/>
    </row>
    <row r="38" spans="1:35" ht="39" customHeight="1" x14ac:dyDescent="0.3">
      <c r="L38" s="25"/>
      <c r="AD38" s="183" t="s">
        <v>615</v>
      </c>
    </row>
    <row r="39" spans="1:35" ht="15" customHeight="1" x14ac:dyDescent="0.3">
      <c r="L39" s="25"/>
      <c r="AD39" s="183"/>
    </row>
    <row r="40" spans="1:35" ht="15" customHeight="1" x14ac:dyDescent="0.3">
      <c r="A40" s="218" t="s">
        <v>442</v>
      </c>
      <c r="L40" s="10" t="s">
        <v>24</v>
      </c>
      <c r="AE40" s="26"/>
    </row>
    <row r="41" spans="1:35" ht="6.6" customHeight="1" x14ac:dyDescent="0.3">
      <c r="A41" s="218"/>
      <c r="L41" s="10"/>
      <c r="AE41" s="26"/>
    </row>
    <row r="42" spans="1:35" ht="14.25" customHeight="1" x14ac:dyDescent="0.3">
      <c r="A42" s="54"/>
      <c r="B42" s="54"/>
      <c r="C42" s="54"/>
      <c r="D42" s="65" t="s">
        <v>80</v>
      </c>
      <c r="E42" s="24"/>
      <c r="F42" t="s">
        <v>5</v>
      </c>
      <c r="I42" s="2"/>
      <c r="J42" s="2"/>
      <c r="L42" s="292"/>
      <c r="M42" s="292"/>
      <c r="N42" s="292"/>
      <c r="O42" s="292"/>
      <c r="P42" s="292"/>
      <c r="Q42" s="292"/>
      <c r="R42" s="292"/>
      <c r="S42" s="292"/>
      <c r="T42" s="292"/>
      <c r="U42" s="292"/>
      <c r="V42" s="292"/>
      <c r="W42" s="292"/>
      <c r="X42" s="292"/>
      <c r="Y42" s="292"/>
      <c r="Z42" s="292"/>
      <c r="AA42" s="292"/>
      <c r="AB42" s="292"/>
      <c r="AC42" s="292"/>
      <c r="AD42" s="292"/>
      <c r="AE42" s="54"/>
      <c r="AF42" s="54"/>
      <c r="AG42" s="54"/>
      <c r="AH42" s="54"/>
      <c r="AI42" s="54"/>
    </row>
    <row r="43" spans="1:35" ht="9.9" customHeight="1" x14ac:dyDescent="0.3">
      <c r="A43" s="1"/>
      <c r="B43" s="1"/>
      <c r="C43" s="1"/>
      <c r="D43" s="1"/>
      <c r="E43" s="1"/>
      <c r="I43" s="1"/>
      <c r="L43" s="99"/>
      <c r="M43" s="99"/>
      <c r="N43" s="99"/>
      <c r="O43" s="99"/>
      <c r="P43" s="99"/>
      <c r="Q43" s="99"/>
      <c r="R43" s="99"/>
      <c r="S43" s="99"/>
      <c r="T43" s="99"/>
      <c r="U43" s="99"/>
      <c r="V43" s="99"/>
      <c r="W43" s="99"/>
      <c r="X43" s="99"/>
      <c r="Y43" s="99"/>
      <c r="Z43" s="99"/>
      <c r="AA43" s="99"/>
      <c r="AB43" s="99"/>
      <c r="AC43" s="99"/>
      <c r="AD43" s="99"/>
      <c r="AE43" s="99"/>
      <c r="AF43" s="99"/>
      <c r="AG43" s="99"/>
      <c r="AH43" s="99"/>
      <c r="AI43" s="99"/>
    </row>
    <row r="44" spans="1:35" ht="14.25" customHeight="1" x14ac:dyDescent="0.3">
      <c r="A44" s="311" t="s">
        <v>79</v>
      </c>
      <c r="B44" s="311"/>
      <c r="C44" s="311"/>
      <c r="D44" s="312"/>
      <c r="E44" s="24"/>
      <c r="F44" t="s">
        <v>5</v>
      </c>
      <c r="H44" s="1" t="s">
        <v>38</v>
      </c>
      <c r="I44" s="24"/>
      <c r="J44" t="s">
        <v>6</v>
      </c>
      <c r="L44" s="292" t="s">
        <v>616</v>
      </c>
      <c r="M44" s="292"/>
      <c r="N44" s="292"/>
      <c r="O44" s="292"/>
      <c r="P44" s="292"/>
      <c r="Q44" s="292"/>
      <c r="R44" s="292"/>
      <c r="S44" s="292"/>
      <c r="T44" s="292"/>
      <c r="U44" s="292"/>
      <c r="V44" s="292"/>
      <c r="W44" s="292"/>
      <c r="X44" s="292"/>
      <c r="Y44" s="292"/>
      <c r="Z44" s="292"/>
      <c r="AA44" s="292"/>
      <c r="AB44" s="292"/>
      <c r="AC44" s="292"/>
      <c r="AD44" s="292"/>
      <c r="AE44" s="54"/>
      <c r="AF44" s="54"/>
      <c r="AG44" s="54"/>
      <c r="AH44" s="54"/>
      <c r="AI44" s="54"/>
    </row>
    <row r="45" spans="1:35" ht="9.9" customHeight="1" x14ac:dyDescent="0.3">
      <c r="A45" s="1"/>
      <c r="B45" s="1"/>
      <c r="C45" s="1"/>
      <c r="D45" s="1"/>
      <c r="E45" s="1"/>
      <c r="I45" s="2"/>
      <c r="L45" s="99"/>
      <c r="M45" s="99"/>
      <c r="N45" s="99"/>
      <c r="O45" s="99"/>
      <c r="P45" s="99"/>
      <c r="Q45" s="99"/>
      <c r="R45" s="99"/>
      <c r="S45" s="99"/>
      <c r="T45" s="99"/>
      <c r="U45" s="99"/>
      <c r="V45" s="99"/>
      <c r="W45" s="99"/>
      <c r="X45" s="99"/>
      <c r="Y45" s="99"/>
      <c r="Z45" s="99"/>
      <c r="AA45" s="99"/>
      <c r="AB45" s="99"/>
      <c r="AC45" s="99"/>
      <c r="AD45" s="99"/>
      <c r="AE45" s="99"/>
      <c r="AF45" s="99"/>
      <c r="AG45" s="99"/>
      <c r="AH45" s="99"/>
      <c r="AI45" s="99"/>
    </row>
    <row r="46" spans="1:35" ht="15" customHeight="1" x14ac:dyDescent="0.3">
      <c r="A46" s="326" t="s">
        <v>81</v>
      </c>
      <c r="B46" s="326"/>
      <c r="C46" s="326"/>
      <c r="D46" s="326"/>
      <c r="E46" s="47">
        <f>IF(D66="yes",D61,IF(E66="yes",E61,IF(F66="yes",F61,IF(H66="yes",H61,0))))</f>
        <v>73.5</v>
      </c>
      <c r="F46" t="s">
        <v>5</v>
      </c>
      <c r="I46" s="2"/>
      <c r="L46" s="293" t="s">
        <v>214</v>
      </c>
      <c r="M46" s="293"/>
      <c r="N46" s="293"/>
      <c r="O46" s="293"/>
      <c r="P46" s="293"/>
      <c r="Q46" s="293"/>
      <c r="R46" s="293"/>
      <c r="S46" s="293"/>
      <c r="T46" s="293"/>
      <c r="U46" s="292"/>
      <c r="V46" s="292"/>
      <c r="W46" s="292"/>
      <c r="X46" s="292"/>
      <c r="Y46" s="292"/>
      <c r="Z46" s="292"/>
      <c r="AA46" s="292"/>
      <c r="AB46" s="292"/>
      <c r="AC46" s="292"/>
      <c r="AD46" s="292"/>
      <c r="AE46" s="199"/>
      <c r="AF46" s="199"/>
      <c r="AG46" s="199"/>
      <c r="AH46" s="199"/>
      <c r="AI46" s="199"/>
    </row>
    <row r="47" spans="1:35" ht="9.9" customHeight="1" x14ac:dyDescent="0.3">
      <c r="A47" s="1"/>
      <c r="B47" s="1"/>
      <c r="C47" s="1"/>
      <c r="D47" s="1"/>
      <c r="E47" s="1"/>
      <c r="I47" s="2"/>
      <c r="L47" s="193"/>
      <c r="M47" s="193"/>
      <c r="N47" s="193"/>
      <c r="O47" s="193"/>
      <c r="P47" s="193"/>
      <c r="Q47" s="193"/>
      <c r="R47" s="54"/>
      <c r="S47" s="54"/>
      <c r="T47" s="54"/>
      <c r="U47" s="54"/>
      <c r="V47" s="54"/>
      <c r="W47" s="54"/>
      <c r="X47" s="54"/>
      <c r="Y47" s="54"/>
      <c r="Z47" s="54"/>
      <c r="AA47" s="54"/>
      <c r="AB47" s="54"/>
      <c r="AC47" s="54"/>
      <c r="AD47" s="54"/>
      <c r="AE47" s="193"/>
      <c r="AF47" s="193"/>
      <c r="AG47" s="193"/>
      <c r="AH47" s="193"/>
      <c r="AI47" s="193"/>
    </row>
    <row r="48" spans="1:35" ht="14.25" customHeight="1" x14ac:dyDescent="0.3">
      <c r="A48" s="311" t="s">
        <v>185</v>
      </c>
      <c r="B48" s="311"/>
      <c r="C48" s="311"/>
      <c r="D48" s="312"/>
      <c r="E48" s="47">
        <f>E42+E44</f>
        <v>0</v>
      </c>
      <c r="F48" t="s">
        <v>5</v>
      </c>
      <c r="I48" s="2"/>
      <c r="L48" s="293" t="s">
        <v>190</v>
      </c>
      <c r="M48" s="293"/>
      <c r="N48" s="293"/>
      <c r="O48" s="293"/>
      <c r="P48" s="293"/>
      <c r="Q48" s="293"/>
      <c r="R48" s="306"/>
      <c r="S48" s="306"/>
      <c r="T48" s="306"/>
      <c r="U48" s="306"/>
      <c r="V48" s="306"/>
      <c r="W48" s="306"/>
      <c r="X48" s="306"/>
      <c r="Y48" s="306"/>
      <c r="Z48" s="306"/>
      <c r="AA48" s="306"/>
      <c r="AB48" s="306"/>
      <c r="AC48" s="306"/>
      <c r="AD48" s="306"/>
      <c r="AE48" s="199"/>
      <c r="AF48" s="199"/>
      <c r="AG48" s="199"/>
      <c r="AH48" s="199"/>
      <c r="AI48" s="199"/>
    </row>
    <row r="49" spans="1:35" ht="9.9" customHeight="1" x14ac:dyDescent="0.3">
      <c r="A49" s="1"/>
      <c r="B49" s="1"/>
      <c r="C49" s="1"/>
      <c r="D49" s="1"/>
      <c r="E49" s="1"/>
      <c r="I49" s="2"/>
      <c r="L49" s="193"/>
      <c r="M49" s="193"/>
      <c r="N49" s="193"/>
      <c r="O49" s="193"/>
      <c r="P49" s="193"/>
      <c r="Q49" s="193"/>
      <c r="R49" s="54"/>
      <c r="S49" s="54"/>
      <c r="T49" s="54"/>
      <c r="U49" s="54"/>
      <c r="V49" s="54"/>
      <c r="W49" s="54"/>
      <c r="X49" s="54"/>
      <c r="Y49" s="54"/>
      <c r="Z49" s="54"/>
      <c r="AA49" s="54"/>
      <c r="AB49" s="54"/>
      <c r="AC49" s="54"/>
      <c r="AD49" s="54"/>
      <c r="AE49" s="193"/>
      <c r="AF49" s="193"/>
      <c r="AG49" s="193"/>
      <c r="AH49" s="193"/>
      <c r="AI49" s="193"/>
    </row>
    <row r="50" spans="1:35" ht="14.25" customHeight="1" x14ac:dyDescent="0.3">
      <c r="A50" s="311" t="s">
        <v>82</v>
      </c>
      <c r="B50" s="311"/>
      <c r="C50" s="311"/>
      <c r="D50" s="312"/>
      <c r="E50" s="47">
        <f>E46+E44</f>
        <v>73.5</v>
      </c>
      <c r="F50" t="s">
        <v>5</v>
      </c>
      <c r="I50" s="2"/>
      <c r="L50" s="293" t="s">
        <v>208</v>
      </c>
      <c r="M50" s="293"/>
      <c r="N50" s="293"/>
      <c r="O50" s="293"/>
      <c r="P50" s="293"/>
      <c r="Q50" s="293"/>
      <c r="R50" s="293"/>
      <c r="S50" s="293"/>
      <c r="T50" s="293"/>
      <c r="U50" s="293"/>
      <c r="V50" s="293"/>
      <c r="W50" s="293"/>
      <c r="X50" s="293"/>
      <c r="Y50" s="293"/>
      <c r="Z50" s="293"/>
      <c r="AA50" s="292"/>
      <c r="AB50" s="292"/>
      <c r="AC50" s="292"/>
      <c r="AD50" s="292"/>
      <c r="AE50" s="199"/>
      <c r="AF50" s="199"/>
      <c r="AG50" s="199"/>
      <c r="AH50" s="199"/>
      <c r="AI50" s="199"/>
    </row>
    <row r="51" spans="1:35" ht="9.9" customHeight="1" x14ac:dyDescent="0.3">
      <c r="A51" s="1"/>
      <c r="B51" s="1"/>
      <c r="C51" s="1"/>
      <c r="D51" s="1"/>
      <c r="E51" s="1"/>
      <c r="I51" s="2"/>
      <c r="L51" s="99"/>
      <c r="M51" s="99"/>
      <c r="N51" s="99"/>
      <c r="O51" s="99"/>
      <c r="P51" s="99"/>
      <c r="Q51" s="99"/>
      <c r="R51" s="99"/>
      <c r="S51" s="99"/>
      <c r="T51" s="99"/>
      <c r="U51" s="99"/>
      <c r="V51" s="99"/>
      <c r="W51" s="99"/>
      <c r="X51" s="99"/>
      <c r="Y51" s="99"/>
      <c r="Z51" s="99"/>
      <c r="AA51" s="99"/>
      <c r="AB51" s="99"/>
      <c r="AC51" s="99"/>
      <c r="AD51" s="99"/>
      <c r="AE51" s="99"/>
      <c r="AF51" s="99"/>
      <c r="AG51" s="99"/>
      <c r="AH51" s="99"/>
      <c r="AI51" s="99"/>
    </row>
    <row r="52" spans="1:35" ht="14.25" customHeight="1" x14ac:dyDescent="0.3">
      <c r="A52" s="311" t="s">
        <v>188</v>
      </c>
      <c r="B52" s="311"/>
      <c r="C52" s="311"/>
      <c r="D52" s="312"/>
      <c r="E52" s="24">
        <v>0</v>
      </c>
      <c r="F52" t="s">
        <v>5</v>
      </c>
      <c r="H52" s="1" t="s">
        <v>7</v>
      </c>
      <c r="I52" s="24"/>
      <c r="J52" t="s">
        <v>6</v>
      </c>
      <c r="L52" s="292" t="s">
        <v>616</v>
      </c>
      <c r="M52" s="292"/>
      <c r="N52" s="292"/>
      <c r="O52" s="292"/>
      <c r="P52" s="292"/>
      <c r="Q52" s="292"/>
      <c r="R52" s="292"/>
      <c r="S52" s="292"/>
      <c r="T52" s="292"/>
      <c r="U52" s="292"/>
      <c r="V52" s="292"/>
      <c r="W52" s="292"/>
      <c r="X52" s="292"/>
      <c r="Y52" s="292"/>
      <c r="Z52" s="292"/>
      <c r="AA52" s="292"/>
      <c r="AB52" s="292"/>
      <c r="AC52" s="292"/>
      <c r="AD52" s="292"/>
      <c r="AE52" s="54"/>
      <c r="AF52" s="54"/>
      <c r="AG52" s="54"/>
      <c r="AH52" s="54"/>
      <c r="AI52" s="54"/>
    </row>
    <row r="53" spans="1:35" ht="9.9" customHeight="1" x14ac:dyDescent="0.3">
      <c r="A53" s="1"/>
      <c r="B53" s="1"/>
      <c r="C53" s="1"/>
      <c r="D53" s="1"/>
      <c r="E53" s="1"/>
      <c r="I53" s="2"/>
      <c r="L53" s="99"/>
      <c r="M53" s="99"/>
      <c r="N53" s="99"/>
      <c r="O53" s="99"/>
      <c r="P53" s="99"/>
      <c r="Q53" s="99"/>
      <c r="R53" s="99"/>
      <c r="S53" s="99"/>
      <c r="T53" s="99"/>
      <c r="U53" s="99"/>
      <c r="V53" s="99"/>
      <c r="W53" s="99"/>
      <c r="X53" s="99"/>
      <c r="Y53" s="99"/>
      <c r="Z53" s="99"/>
      <c r="AA53" s="99"/>
      <c r="AB53" s="99"/>
      <c r="AC53" s="99"/>
      <c r="AD53" s="99"/>
      <c r="AE53" s="99"/>
      <c r="AF53" s="99"/>
      <c r="AG53" s="99"/>
      <c r="AH53" s="99"/>
      <c r="AI53" s="99"/>
    </row>
    <row r="54" spans="1:35" ht="14.25" customHeight="1" x14ac:dyDescent="0.3">
      <c r="A54" s="311" t="s">
        <v>187</v>
      </c>
      <c r="B54" s="311"/>
      <c r="C54" s="311"/>
      <c r="D54" s="312"/>
      <c r="E54" s="24">
        <v>0</v>
      </c>
      <c r="F54" t="s">
        <v>5</v>
      </c>
      <c r="H54" s="1" t="s">
        <v>7</v>
      </c>
      <c r="I54" s="24"/>
      <c r="J54" t="s">
        <v>6</v>
      </c>
      <c r="L54" s="292" t="s">
        <v>616</v>
      </c>
      <c r="M54" s="292"/>
      <c r="N54" s="292"/>
      <c r="O54" s="292"/>
      <c r="P54" s="292"/>
      <c r="Q54" s="292"/>
      <c r="R54" s="292"/>
      <c r="S54" s="292"/>
      <c r="T54" s="292"/>
      <c r="U54" s="292"/>
      <c r="V54" s="292"/>
      <c r="W54" s="292"/>
      <c r="X54" s="292"/>
      <c r="Y54" s="292"/>
      <c r="Z54" s="292"/>
      <c r="AA54" s="292"/>
      <c r="AB54" s="292"/>
      <c r="AC54" s="292"/>
      <c r="AD54" s="292"/>
      <c r="AE54" s="54"/>
      <c r="AF54" s="54"/>
      <c r="AG54" s="54"/>
      <c r="AH54" s="54"/>
      <c r="AI54" s="54"/>
    </row>
    <row r="55" spans="1:35" ht="9.9" customHeight="1" x14ac:dyDescent="0.3">
      <c r="A55" s="1"/>
      <c r="B55" s="1"/>
      <c r="C55" s="1"/>
      <c r="D55" s="1"/>
      <c r="E55" s="155"/>
      <c r="F55" s="25"/>
      <c r="I55" s="1"/>
      <c r="L55" s="54"/>
      <c r="M55" s="54"/>
      <c r="N55" s="54"/>
      <c r="O55" s="54"/>
      <c r="P55" s="54"/>
      <c r="Q55" s="54"/>
      <c r="R55" s="54"/>
      <c r="S55" s="54"/>
      <c r="T55" s="54"/>
      <c r="U55" s="54"/>
      <c r="V55" s="54"/>
      <c r="W55" s="54"/>
      <c r="X55" s="54"/>
      <c r="Y55" s="54"/>
      <c r="Z55" s="54"/>
      <c r="AA55" s="54"/>
      <c r="AB55" s="54"/>
      <c r="AC55" s="54"/>
      <c r="AD55" s="54"/>
      <c r="AE55" s="54"/>
      <c r="AF55" s="54"/>
      <c r="AG55" s="54"/>
      <c r="AH55" s="54"/>
      <c r="AI55" s="54"/>
    </row>
    <row r="56" spans="1:35" ht="6.6" customHeight="1" x14ac:dyDescent="0.3">
      <c r="A56" s="1"/>
      <c r="B56" s="1"/>
      <c r="C56" s="1"/>
      <c r="D56" s="1"/>
      <c r="E56" s="155"/>
      <c r="F56" s="25"/>
      <c r="I56" s="1"/>
      <c r="L56" s="54"/>
      <c r="M56" s="54"/>
      <c r="N56" s="54"/>
      <c r="O56" s="54"/>
      <c r="P56" s="54"/>
      <c r="Q56" s="54"/>
      <c r="R56" s="54"/>
      <c r="S56" s="54"/>
      <c r="T56" s="54"/>
      <c r="U56" s="54"/>
      <c r="V56" s="54"/>
      <c r="W56" s="54"/>
      <c r="X56" s="54"/>
      <c r="Y56" s="54"/>
      <c r="Z56" s="54"/>
      <c r="AA56" s="54"/>
      <c r="AB56" s="54"/>
      <c r="AC56" s="54"/>
      <c r="AD56" s="54"/>
      <c r="AE56" s="54"/>
      <c r="AF56" s="54"/>
      <c r="AG56" s="54"/>
      <c r="AH56" s="54"/>
      <c r="AI56" s="54"/>
    </row>
    <row r="57" spans="1:35" ht="14.25" customHeight="1" x14ac:dyDescent="0.3">
      <c r="A57" s="218" t="s">
        <v>443</v>
      </c>
      <c r="B57" s="1"/>
      <c r="C57" s="1"/>
      <c r="D57" s="1"/>
      <c r="E57" s="1"/>
      <c r="I57" s="2"/>
      <c r="M57" s="99"/>
      <c r="N57" s="99"/>
      <c r="O57" s="99"/>
      <c r="P57" s="99"/>
      <c r="Q57" s="99"/>
      <c r="R57" s="99"/>
      <c r="S57" s="99"/>
      <c r="T57" s="99"/>
      <c r="U57" s="99"/>
      <c r="V57" s="99"/>
      <c r="W57" s="99"/>
      <c r="X57" s="99"/>
      <c r="Y57" s="99"/>
      <c r="Z57" s="99"/>
      <c r="AA57" s="99"/>
      <c r="AB57" s="99"/>
      <c r="AC57" s="99"/>
      <c r="AD57" s="99"/>
      <c r="AE57" s="99"/>
      <c r="AF57" s="99"/>
      <c r="AG57" s="99"/>
      <c r="AH57" s="99"/>
      <c r="AI57" s="99"/>
    </row>
    <row r="58" spans="1:35" ht="6.6" customHeight="1" x14ac:dyDescent="0.3">
      <c r="A58" s="218"/>
      <c r="B58" s="1"/>
      <c r="C58" s="1"/>
      <c r="D58" s="1"/>
      <c r="E58" s="1"/>
      <c r="I58" s="2"/>
      <c r="M58" s="99"/>
      <c r="N58" s="99"/>
      <c r="O58" s="99"/>
      <c r="P58" s="99"/>
      <c r="Q58" s="99"/>
      <c r="R58" s="99"/>
      <c r="S58" s="99"/>
      <c r="T58" s="99"/>
      <c r="U58" s="99"/>
      <c r="V58" s="99"/>
      <c r="W58" s="99"/>
      <c r="X58" s="99"/>
      <c r="Y58" s="99"/>
      <c r="Z58" s="99"/>
      <c r="AA58" s="99"/>
      <c r="AB58" s="99"/>
      <c r="AC58" s="99"/>
      <c r="AD58" s="99"/>
      <c r="AE58" s="99"/>
      <c r="AF58" s="99"/>
      <c r="AG58" s="99"/>
      <c r="AH58" s="99"/>
      <c r="AI58" s="99"/>
    </row>
    <row r="59" spans="1:35" x14ac:dyDescent="0.3">
      <c r="D59" s="2" t="s">
        <v>8</v>
      </c>
      <c r="E59" s="2" t="s">
        <v>53</v>
      </c>
      <c r="F59" s="325" t="s">
        <v>9</v>
      </c>
      <c r="G59" s="325"/>
      <c r="H59" s="325" t="s">
        <v>52</v>
      </c>
      <c r="I59" s="325"/>
      <c r="J59" s="2"/>
      <c r="K59" s="10"/>
      <c r="L59" s="10" t="s">
        <v>24</v>
      </c>
      <c r="N59" s="2"/>
      <c r="O59" s="2"/>
      <c r="P59" s="2"/>
      <c r="Q59" s="2"/>
      <c r="R59" s="2"/>
      <c r="S59" s="2"/>
      <c r="T59" s="2"/>
      <c r="U59" s="2"/>
      <c r="V59" s="2"/>
      <c r="W59" s="2"/>
      <c r="X59" s="2"/>
      <c r="Y59" s="2"/>
      <c r="Z59" s="2"/>
      <c r="AA59" s="2"/>
      <c r="AB59" s="2"/>
      <c r="AC59" s="2"/>
      <c r="AD59" s="2"/>
    </row>
    <row r="60" spans="1:35" ht="20.100000000000001" customHeight="1" x14ac:dyDescent="0.3">
      <c r="C60" s="13" t="s">
        <v>191</v>
      </c>
      <c r="D60" s="24" t="s">
        <v>119</v>
      </c>
      <c r="E60" s="24" t="s">
        <v>121</v>
      </c>
      <c r="F60" s="327" t="s">
        <v>125</v>
      </c>
      <c r="G60" s="327"/>
      <c r="H60" s="295" t="s">
        <v>140</v>
      </c>
      <c r="I60" s="297"/>
      <c r="J60" s="2"/>
      <c r="K60" s="10"/>
      <c r="L60" s="292"/>
      <c r="M60" s="292"/>
      <c r="N60" s="292"/>
      <c r="O60" s="292"/>
      <c r="P60" s="292"/>
      <c r="Q60" s="292"/>
      <c r="R60" s="292"/>
      <c r="S60" s="292"/>
      <c r="T60" s="292"/>
      <c r="U60" s="292"/>
      <c r="V60" s="292"/>
      <c r="W60" s="292"/>
      <c r="X60" s="292"/>
      <c r="Y60" s="292"/>
      <c r="Z60" s="292"/>
      <c r="AA60" s="292"/>
      <c r="AB60" s="292"/>
      <c r="AC60" s="292"/>
      <c r="AD60" s="292"/>
      <c r="AE60" s="54"/>
      <c r="AF60" s="54"/>
      <c r="AG60" s="54"/>
      <c r="AH60" s="54"/>
      <c r="AI60" s="54"/>
    </row>
    <row r="61" spans="1:35" ht="20.100000000000001" customHeight="1" x14ac:dyDescent="0.3">
      <c r="A61" s="311" t="s">
        <v>192</v>
      </c>
      <c r="B61" s="311"/>
      <c r="C61" s="312"/>
      <c r="D61" s="47">
        <f>VLOOKUP(D60,'AASHTO Designations'!B4:E4,3,FALSE)</f>
        <v>19</v>
      </c>
      <c r="E61" s="47">
        <f>VLOOKUP(PreemptionForm!E60,'AASHTO Designations'!B5:E6,3,FALSE)</f>
        <v>30</v>
      </c>
      <c r="F61" s="298">
        <f>VLOOKUP(F60,'AASHTO Designations'!B7:E12,3,FALSE)</f>
        <v>40.5</v>
      </c>
      <c r="G61" s="299"/>
      <c r="H61" s="298">
        <f>VLOOKUP(PreemptionForm!H60,'AASHTO Designations'!B13:E20,3,TRUE)</f>
        <v>73.5</v>
      </c>
      <c r="I61" s="299"/>
      <c r="J61" s="2"/>
      <c r="L61" s="315" t="s">
        <v>166</v>
      </c>
      <c r="M61" s="315"/>
      <c r="N61" s="315"/>
      <c r="O61" s="315"/>
      <c r="P61" s="315"/>
      <c r="Q61" s="315"/>
      <c r="R61" s="315"/>
      <c r="S61" s="315"/>
      <c r="T61" s="315"/>
      <c r="U61" s="315"/>
      <c r="V61" s="315"/>
      <c r="W61" s="320"/>
      <c r="X61" s="320"/>
      <c r="Y61" s="320"/>
      <c r="Z61" s="320"/>
      <c r="AA61" s="320"/>
      <c r="AB61" s="320"/>
      <c r="AC61" s="320"/>
      <c r="AD61" s="320"/>
      <c r="AE61" s="199"/>
      <c r="AF61" s="199"/>
      <c r="AG61" s="199"/>
      <c r="AH61" s="199"/>
      <c r="AI61" s="199"/>
    </row>
    <row r="62" spans="1:35" ht="20.100000000000001" customHeight="1" x14ac:dyDescent="0.3">
      <c r="A62" s="311" t="s">
        <v>193</v>
      </c>
      <c r="B62" s="311"/>
      <c r="C62" s="312"/>
      <c r="D62" s="47">
        <f>VLOOKUP(D60,'AASHTO Designations'!B4:E4,4,FALSE)</f>
        <v>4.3</v>
      </c>
      <c r="E62" s="47">
        <f>VLOOKUP(PreemptionForm!E60,'AASHTO Designations'!B5:E6,4,FALSE)</f>
        <v>13.5</v>
      </c>
      <c r="F62" s="298">
        <f>VLOOKUP(F60,'AASHTO Designations'!B7:E12,4,FALSE)</f>
        <v>12</v>
      </c>
      <c r="G62" s="299"/>
      <c r="H62" s="298">
        <f>VLOOKUP(PreemptionForm!H60,'AASHTO Designations'!B13:E20,4,TRUE)</f>
        <v>13.5</v>
      </c>
      <c r="I62" s="299"/>
      <c r="J62" s="2"/>
      <c r="L62" s="315" t="s">
        <v>166</v>
      </c>
      <c r="M62" s="315"/>
      <c r="N62" s="315"/>
      <c r="O62" s="315"/>
      <c r="P62" s="315"/>
      <c r="Q62" s="315"/>
      <c r="R62" s="315"/>
      <c r="S62" s="315"/>
      <c r="T62" s="315"/>
      <c r="U62" s="315"/>
      <c r="V62" s="315"/>
      <c r="W62" s="320"/>
      <c r="X62" s="320"/>
      <c r="Y62" s="320"/>
      <c r="Z62" s="320"/>
      <c r="AA62" s="320"/>
      <c r="AB62" s="320"/>
      <c r="AC62" s="320"/>
      <c r="AD62" s="320"/>
      <c r="AE62" s="199"/>
      <c r="AF62" s="199"/>
      <c r="AG62" s="199"/>
      <c r="AH62" s="199"/>
      <c r="AI62" s="199"/>
    </row>
    <row r="63" spans="1:35" ht="20.100000000000001" customHeight="1" x14ac:dyDescent="0.3">
      <c r="A63" s="311" t="s">
        <v>194</v>
      </c>
      <c r="B63" s="311"/>
      <c r="C63" s="311"/>
      <c r="D63" s="44">
        <f>ROUND(2+(E48/20),1)</f>
        <v>2</v>
      </c>
      <c r="E63" s="45">
        <f>ROUND(2+(E48/20),1)</f>
        <v>2</v>
      </c>
      <c r="F63" s="300">
        <f>ROUND(2+(E48/20),1)</f>
        <v>2</v>
      </c>
      <c r="G63" s="300"/>
      <c r="H63" s="300">
        <f>ROUND(2+(E48/20),1)</f>
        <v>2</v>
      </c>
      <c r="I63" s="300"/>
      <c r="J63" s="44"/>
      <c r="K63" s="11"/>
      <c r="L63" s="294" t="s">
        <v>186</v>
      </c>
      <c r="M63" s="294"/>
      <c r="N63" s="294"/>
      <c r="O63" s="294"/>
      <c r="P63" s="294"/>
      <c r="Q63" s="321"/>
      <c r="R63" s="321"/>
      <c r="S63" s="321"/>
      <c r="T63" s="321"/>
      <c r="U63" s="321"/>
      <c r="V63" s="321"/>
      <c r="W63" s="321"/>
      <c r="X63" s="321"/>
      <c r="Y63" s="321"/>
      <c r="Z63" s="321"/>
      <c r="AA63" s="321"/>
      <c r="AB63" s="321"/>
      <c r="AC63" s="321"/>
      <c r="AD63" s="321"/>
      <c r="AE63" s="200"/>
      <c r="AF63" s="200"/>
      <c r="AG63" s="200"/>
      <c r="AH63" s="200"/>
      <c r="AI63" s="200"/>
    </row>
    <row r="64" spans="1:35" ht="20.100000000000001" customHeight="1" x14ac:dyDescent="0.3">
      <c r="A64" s="311" t="s">
        <v>195</v>
      </c>
      <c r="B64" s="311"/>
      <c r="C64" s="311"/>
      <c r="D64" s="44">
        <f>ROUND(MAX('Calculation Summary'!C31,'Calculation Summary'!C40,'Calculation Summary'!C56),1)</f>
        <v>2.5</v>
      </c>
      <c r="E64" s="44">
        <f>ROUND(MAX('Calculation Summary'!C32,'Calculation Summary'!C41,'Calculation Summary'!C64),1)</f>
        <v>3.7</v>
      </c>
      <c r="F64" s="301">
        <f>ROUND(MAX('Calculation Summary'!C33,'Calculation Summary'!C42,'Calculation Summary'!C68),1)</f>
        <v>5.3</v>
      </c>
      <c r="G64" s="301"/>
      <c r="H64" s="301">
        <f>ROUND(MAX('Calculation Summary'!C34,'Calculation Summary'!C43,'Calculation Summary'!C72),1)</f>
        <v>11.5</v>
      </c>
      <c r="I64" s="301"/>
      <c r="J64" s="44"/>
      <c r="K64" s="11"/>
      <c r="L64" s="304" t="s">
        <v>205</v>
      </c>
      <c r="M64" s="304"/>
      <c r="N64" s="304"/>
      <c r="O64" s="304"/>
      <c r="P64" s="304"/>
      <c r="Q64" s="304"/>
      <c r="R64" s="304"/>
      <c r="S64" s="304"/>
      <c r="T64" s="304"/>
      <c r="U64" s="304"/>
      <c r="V64" s="304"/>
      <c r="W64" s="304"/>
      <c r="X64" s="304"/>
      <c r="Y64" s="304"/>
      <c r="Z64" s="321"/>
      <c r="AA64" s="321"/>
      <c r="AB64" s="321"/>
      <c r="AC64" s="321"/>
      <c r="AD64" s="321"/>
      <c r="AE64" s="200"/>
      <c r="AF64" s="200"/>
      <c r="AG64" s="200"/>
      <c r="AH64" s="200"/>
      <c r="AI64" s="200"/>
    </row>
    <row r="65" spans="1:35" ht="20.100000000000001" customHeight="1" x14ac:dyDescent="0.3">
      <c r="A65" s="322" t="s">
        <v>196</v>
      </c>
      <c r="B65" s="322"/>
      <c r="C65" s="322"/>
      <c r="D65" s="46">
        <f>D63+D64</f>
        <v>4.5</v>
      </c>
      <c r="E65" s="46">
        <f>E63+E64</f>
        <v>5.7</v>
      </c>
      <c r="F65" s="302">
        <f>F63+F64</f>
        <v>7.3</v>
      </c>
      <c r="G65" s="302"/>
      <c r="H65" s="302">
        <f>H63+H64</f>
        <v>13.5</v>
      </c>
      <c r="I65" s="302"/>
      <c r="J65" s="46"/>
      <c r="K65" s="12"/>
      <c r="L65" s="304" t="s">
        <v>427</v>
      </c>
      <c r="M65" s="304"/>
      <c r="N65" s="304"/>
      <c r="O65" s="304"/>
      <c r="P65" s="304"/>
      <c r="Q65" s="321"/>
      <c r="R65" s="321"/>
      <c r="S65" s="321"/>
      <c r="T65" s="321"/>
      <c r="U65" s="321"/>
      <c r="V65" s="321"/>
      <c r="W65" s="321"/>
      <c r="X65" s="321"/>
      <c r="Y65" s="321"/>
      <c r="Z65" s="321"/>
      <c r="AA65" s="321"/>
      <c r="AB65" s="321"/>
      <c r="AC65" s="321"/>
      <c r="AD65" s="321"/>
      <c r="AE65" s="200"/>
      <c r="AF65" s="200"/>
      <c r="AG65" s="200"/>
      <c r="AH65" s="200"/>
      <c r="AI65" s="200"/>
    </row>
    <row r="66" spans="1:35" ht="20.100000000000001" customHeight="1" x14ac:dyDescent="0.3">
      <c r="A66" s="311" t="s">
        <v>197</v>
      </c>
      <c r="B66" s="311"/>
      <c r="C66" s="312"/>
      <c r="D66" s="24" t="s">
        <v>23</v>
      </c>
      <c r="E66" s="24" t="s">
        <v>23</v>
      </c>
      <c r="F66" s="295" t="s">
        <v>23</v>
      </c>
      <c r="G66" s="297"/>
      <c r="H66" s="295" t="s">
        <v>22</v>
      </c>
      <c r="I66" s="297"/>
      <c r="J66" s="2"/>
      <c r="L66" s="315" t="s">
        <v>216</v>
      </c>
      <c r="M66" s="315"/>
      <c r="N66" s="315"/>
      <c r="O66" s="315"/>
      <c r="P66" s="315"/>
      <c r="Q66" s="315"/>
      <c r="R66" s="315"/>
      <c r="S66" s="315"/>
      <c r="T66" s="315"/>
      <c r="U66" s="315"/>
      <c r="V66" s="315"/>
      <c r="W66" s="315"/>
      <c r="X66" s="315"/>
      <c r="Y66" s="315"/>
      <c r="Z66" s="291"/>
      <c r="AA66" s="291"/>
      <c r="AB66" s="291"/>
      <c r="AC66" s="291"/>
      <c r="AD66" s="291"/>
      <c r="AE66" s="54"/>
      <c r="AF66" s="54"/>
      <c r="AG66" s="54"/>
      <c r="AH66" s="54"/>
      <c r="AI66" s="54"/>
    </row>
    <row r="67" spans="1:35" ht="9" customHeight="1" x14ac:dyDescent="0.3">
      <c r="E67" s="10"/>
      <c r="F67" s="10"/>
      <c r="G67" s="10"/>
      <c r="H67" s="10"/>
      <c r="I67" s="10"/>
      <c r="J67" s="10"/>
      <c r="K67" s="10"/>
      <c r="L67" s="10"/>
      <c r="M67" s="10"/>
      <c r="N67" s="10"/>
      <c r="O67" s="10"/>
      <c r="P67" s="10"/>
      <c r="Q67" s="10"/>
      <c r="R67" s="10"/>
      <c r="S67" s="10"/>
      <c r="T67" s="10"/>
      <c r="U67" s="10"/>
      <c r="V67" s="10"/>
      <c r="W67" s="10"/>
      <c r="X67" s="10"/>
      <c r="Y67" s="10"/>
      <c r="Z67" s="10"/>
      <c r="AA67" s="10"/>
      <c r="AB67" s="10"/>
      <c r="AC67" s="10"/>
      <c r="AD67" s="10"/>
      <c r="AE67" s="10"/>
    </row>
    <row r="68" spans="1:35" ht="15" x14ac:dyDescent="0.3">
      <c r="A68" s="218" t="s">
        <v>446</v>
      </c>
      <c r="G68" s="10"/>
      <c r="H68" s="10"/>
      <c r="I68" s="10" t="s">
        <v>24</v>
      </c>
      <c r="J68" s="10"/>
      <c r="K68" s="10"/>
      <c r="L68" s="10"/>
      <c r="M68" s="10"/>
      <c r="N68" s="10"/>
      <c r="O68" s="10"/>
      <c r="P68" s="10"/>
      <c r="Q68" s="10"/>
      <c r="R68" s="10"/>
      <c r="S68" s="10"/>
      <c r="T68" s="10"/>
      <c r="U68" s="10"/>
      <c r="V68" s="10"/>
      <c r="W68" s="10"/>
      <c r="X68" s="10"/>
      <c r="Y68" s="10"/>
      <c r="Z68" s="10"/>
      <c r="AA68" s="10"/>
      <c r="AB68" s="10"/>
      <c r="AC68" s="10"/>
      <c r="AD68" s="10"/>
      <c r="AE68" s="10"/>
    </row>
    <row r="69" spans="1:35" ht="6.6" customHeight="1" x14ac:dyDescent="0.3">
      <c r="A69" s="218"/>
      <c r="G69" s="10"/>
      <c r="H69" s="10"/>
      <c r="I69" s="10"/>
      <c r="J69" s="10"/>
      <c r="K69" s="10"/>
      <c r="L69" s="10"/>
      <c r="M69" s="10"/>
      <c r="N69" s="10"/>
      <c r="O69" s="10"/>
      <c r="P69" s="10"/>
      <c r="Q69" s="10"/>
      <c r="R69" s="10"/>
      <c r="S69" s="10"/>
      <c r="T69" s="10"/>
      <c r="U69" s="10"/>
      <c r="V69" s="10"/>
      <c r="W69" s="10"/>
      <c r="X69" s="10"/>
      <c r="Y69" s="10"/>
      <c r="Z69" s="10"/>
      <c r="AA69" s="10"/>
      <c r="AB69" s="10"/>
      <c r="AC69" s="10"/>
      <c r="AD69" s="10"/>
      <c r="AE69" s="10"/>
    </row>
    <row r="70" spans="1:35" x14ac:dyDescent="0.3">
      <c r="E70" s="13" t="s">
        <v>198</v>
      </c>
      <c r="F70" s="295">
        <v>0</v>
      </c>
      <c r="G70" s="297"/>
      <c r="H70" s="10"/>
      <c r="I70" s="292"/>
      <c r="J70" s="292"/>
      <c r="K70" s="292"/>
      <c r="L70" s="292"/>
      <c r="M70" s="292"/>
      <c r="N70" s="292"/>
      <c r="O70" s="292"/>
      <c r="P70" s="292"/>
      <c r="Q70" s="292"/>
      <c r="R70" s="292"/>
      <c r="S70" s="292"/>
      <c r="T70" s="292"/>
      <c r="U70" s="292"/>
      <c r="V70" s="292"/>
      <c r="W70" s="292"/>
      <c r="X70" s="292"/>
      <c r="Y70" s="292"/>
      <c r="Z70" s="292"/>
      <c r="AA70" s="292"/>
      <c r="AB70" s="292"/>
      <c r="AC70" s="292"/>
      <c r="AD70" s="292"/>
      <c r="AE70" s="54"/>
      <c r="AF70" s="54"/>
      <c r="AG70" s="54"/>
      <c r="AH70" s="54"/>
      <c r="AI70" s="54"/>
    </row>
    <row r="71" spans="1:35" ht="9.9" customHeight="1" x14ac:dyDescent="0.3">
      <c r="E71" s="1"/>
      <c r="F71" s="1"/>
      <c r="G71" s="10"/>
      <c r="H71" s="10"/>
      <c r="I71" s="98"/>
      <c r="J71" s="98"/>
      <c r="K71" s="98"/>
      <c r="L71" s="98"/>
      <c r="M71" s="98"/>
      <c r="N71" s="98"/>
      <c r="O71" s="98"/>
      <c r="P71" s="98"/>
      <c r="Q71" s="98"/>
      <c r="R71" s="98"/>
      <c r="S71" s="98"/>
      <c r="T71" s="98"/>
      <c r="U71" s="98"/>
      <c r="V71" s="98"/>
      <c r="W71" s="98"/>
      <c r="X71" s="98"/>
      <c r="Y71" s="98"/>
      <c r="Z71" s="98"/>
      <c r="AA71" s="98"/>
      <c r="AB71" s="98"/>
      <c r="AC71" s="98"/>
      <c r="AD71" s="98"/>
      <c r="AE71" s="98"/>
      <c r="AF71" s="54"/>
      <c r="AG71" s="54"/>
      <c r="AH71" s="54"/>
      <c r="AI71" s="54"/>
    </row>
    <row r="72" spans="1:35" x14ac:dyDescent="0.3">
      <c r="E72" s="13" t="s">
        <v>199</v>
      </c>
      <c r="F72" s="295">
        <v>0</v>
      </c>
      <c r="G72" s="297"/>
      <c r="H72" s="10"/>
      <c r="I72" s="293" t="s">
        <v>25</v>
      </c>
      <c r="J72" s="293"/>
      <c r="K72" s="293"/>
      <c r="L72" s="292"/>
      <c r="M72" s="292"/>
      <c r="N72" s="292"/>
      <c r="O72" s="292"/>
      <c r="P72" s="292"/>
      <c r="Q72" s="292"/>
      <c r="R72" s="292"/>
      <c r="S72" s="292"/>
      <c r="T72" s="292"/>
      <c r="U72" s="292"/>
      <c r="V72" s="292"/>
      <c r="W72" s="292"/>
      <c r="X72" s="292"/>
      <c r="Y72" s="292"/>
      <c r="Z72" s="292"/>
      <c r="AA72" s="292"/>
      <c r="AB72" s="292"/>
      <c r="AC72" s="292"/>
      <c r="AD72" s="292"/>
      <c r="AE72" s="54"/>
      <c r="AF72" s="54"/>
      <c r="AG72" s="54"/>
      <c r="AH72" s="54"/>
      <c r="AI72" s="54"/>
    </row>
    <row r="73" spans="1:35" ht="9.9" customHeight="1" x14ac:dyDescent="0.3">
      <c r="I73" s="54"/>
      <c r="J73" s="54"/>
      <c r="K73" s="54"/>
      <c r="L73" s="54"/>
      <c r="M73" s="54"/>
      <c r="N73" s="54"/>
      <c r="O73" s="54"/>
      <c r="P73" s="54"/>
      <c r="Q73" s="54"/>
      <c r="R73" s="54"/>
      <c r="S73" s="54"/>
      <c r="T73" s="54"/>
      <c r="U73" s="54"/>
      <c r="V73" s="54"/>
      <c r="W73" s="54"/>
      <c r="X73" s="54"/>
      <c r="Y73" s="54"/>
      <c r="Z73" s="54"/>
      <c r="AA73" s="54"/>
      <c r="AB73" s="54"/>
      <c r="AC73" s="54"/>
      <c r="AD73" s="54"/>
      <c r="AE73" s="54"/>
      <c r="AF73" s="54"/>
      <c r="AG73" s="54"/>
      <c r="AH73" s="54"/>
      <c r="AI73" s="54"/>
    </row>
    <row r="74" spans="1:35" x14ac:dyDescent="0.3">
      <c r="E74" s="13" t="s">
        <v>200</v>
      </c>
      <c r="F74" s="313">
        <f>ROUND(F70,0)+ROUND(F72,0)</f>
        <v>0</v>
      </c>
      <c r="G74" s="314"/>
      <c r="I74" s="293" t="s">
        <v>244</v>
      </c>
      <c r="J74" s="293"/>
      <c r="K74" s="293"/>
      <c r="L74" s="293"/>
      <c r="M74" s="292"/>
      <c r="N74" s="292"/>
      <c r="O74" s="292"/>
      <c r="P74" s="292"/>
      <c r="Q74" s="292"/>
      <c r="R74" s="292"/>
      <c r="S74" s="292"/>
      <c r="T74" s="292"/>
      <c r="U74" s="292"/>
      <c r="V74" s="292"/>
      <c r="W74" s="292"/>
      <c r="X74" s="292"/>
      <c r="Y74" s="292"/>
      <c r="Z74" s="292"/>
      <c r="AA74" s="292"/>
      <c r="AB74" s="292"/>
      <c r="AC74" s="292"/>
      <c r="AD74" s="292"/>
      <c r="AE74" s="199"/>
      <c r="AF74" s="199"/>
      <c r="AG74" s="199"/>
      <c r="AH74" s="199"/>
      <c r="AI74" s="199"/>
    </row>
    <row r="75" spans="1:35" ht="41.25" customHeight="1" x14ac:dyDescent="0.3"/>
    <row r="76" spans="1:35" ht="30" customHeight="1" x14ac:dyDescent="0.3">
      <c r="A76" s="305" t="s">
        <v>180</v>
      </c>
      <c r="B76" s="305"/>
      <c r="C76" s="305"/>
      <c r="D76" s="305"/>
      <c r="E76" s="305"/>
      <c r="F76" s="305"/>
      <c r="G76" s="305"/>
      <c r="H76" s="305"/>
      <c r="I76" s="305"/>
      <c r="J76" s="195"/>
      <c r="K76" s="195"/>
      <c r="L76" s="195"/>
      <c r="M76" s="195"/>
      <c r="N76" s="195"/>
      <c r="O76" s="195"/>
      <c r="P76" s="195"/>
      <c r="Q76" s="195"/>
      <c r="R76" s="195"/>
      <c r="S76" s="195"/>
      <c r="T76" s="195"/>
      <c r="U76" s="195"/>
      <c r="V76" s="195"/>
      <c r="W76" s="195"/>
      <c r="X76" s="195"/>
      <c r="Y76" s="195"/>
      <c r="Z76" s="195"/>
      <c r="AA76" s="195"/>
      <c r="AB76" s="195"/>
      <c r="AC76" s="195"/>
      <c r="AD76" s="1" t="s">
        <v>218</v>
      </c>
      <c r="AE76" s="195"/>
      <c r="AF76" s="195"/>
    </row>
    <row r="77" spans="1:35" ht="39" customHeight="1" x14ac:dyDescent="0.3">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c r="AC77" s="27"/>
      <c r="AD77" s="183" t="s">
        <v>615</v>
      </c>
      <c r="AE77" s="27"/>
      <c r="AF77" s="27"/>
    </row>
    <row r="78" spans="1:35" ht="15" customHeight="1" x14ac:dyDescent="0.3">
      <c r="A78" s="216"/>
      <c r="B78" s="216"/>
      <c r="C78" s="216"/>
      <c r="D78" s="216"/>
      <c r="E78" s="216"/>
      <c r="F78" s="216"/>
      <c r="G78" s="216"/>
      <c r="H78" s="216"/>
      <c r="I78" s="216"/>
      <c r="J78" s="195"/>
      <c r="K78" s="195"/>
      <c r="L78" s="195"/>
      <c r="M78" s="195"/>
      <c r="N78" s="195"/>
      <c r="O78" s="195"/>
      <c r="P78" s="195"/>
      <c r="Q78" s="195"/>
      <c r="R78" s="195"/>
      <c r="S78" s="195"/>
      <c r="T78" s="195"/>
      <c r="U78" s="195"/>
      <c r="V78" s="195"/>
      <c r="W78" s="195"/>
      <c r="X78" s="195"/>
      <c r="Y78" s="195"/>
      <c r="Z78" s="195"/>
      <c r="AA78" s="195"/>
      <c r="AB78" s="195"/>
      <c r="AC78" s="195"/>
      <c r="AD78" s="1"/>
      <c r="AE78" s="195"/>
      <c r="AF78" s="195"/>
    </row>
    <row r="79" spans="1:35" x14ac:dyDescent="0.3">
      <c r="A79" s="258" t="s">
        <v>26</v>
      </c>
      <c r="I79" s="10" t="s">
        <v>24</v>
      </c>
      <c r="J79" s="10"/>
      <c r="K79" s="10"/>
      <c r="L79" s="10"/>
    </row>
    <row r="80" spans="1:35" x14ac:dyDescent="0.3">
      <c r="A80" s="10"/>
      <c r="E80" s="13" t="s">
        <v>210</v>
      </c>
      <c r="F80" s="295" t="s">
        <v>645</v>
      </c>
      <c r="G80" s="296"/>
      <c r="H80" s="296"/>
      <c r="I80" s="297"/>
      <c r="J80" s="54"/>
      <c r="K80" s="292"/>
      <c r="L80" s="292"/>
      <c r="M80" s="292"/>
      <c r="N80" s="292"/>
      <c r="O80" s="292"/>
      <c r="P80" s="292"/>
      <c r="Q80" s="292"/>
      <c r="R80" s="292"/>
      <c r="S80" s="292"/>
      <c r="T80" s="292"/>
      <c r="U80" s="292"/>
      <c r="V80" s="292"/>
      <c r="W80" s="292"/>
      <c r="X80" s="292"/>
      <c r="Y80" s="292"/>
      <c r="Z80" s="292"/>
      <c r="AA80" s="292"/>
      <c r="AB80" s="292"/>
      <c r="AC80" s="292"/>
      <c r="AD80" s="292"/>
    </row>
    <row r="81" spans="1:35" ht="9.9" customHeight="1" x14ac:dyDescent="0.3">
      <c r="A81" s="10"/>
      <c r="I81" s="10"/>
      <c r="J81" s="10"/>
      <c r="K81" s="10"/>
      <c r="L81" s="10"/>
    </row>
    <row r="82" spans="1:35" x14ac:dyDescent="0.3">
      <c r="E82" s="13" t="s">
        <v>222</v>
      </c>
      <c r="F82" s="295">
        <v>0</v>
      </c>
      <c r="G82" s="297"/>
      <c r="I82" s="292"/>
      <c r="J82" s="292"/>
      <c r="K82" s="292"/>
      <c r="L82" s="292"/>
      <c r="M82" s="292"/>
      <c r="N82" s="292"/>
      <c r="O82" s="292"/>
      <c r="P82" s="292"/>
      <c r="Q82" s="292"/>
      <c r="R82" s="292"/>
      <c r="S82" s="292"/>
      <c r="T82" s="292"/>
      <c r="U82" s="292"/>
      <c r="V82" s="292"/>
      <c r="W82" s="292"/>
      <c r="X82" s="292"/>
      <c r="Y82" s="292"/>
      <c r="Z82" s="292"/>
      <c r="AA82" s="292"/>
      <c r="AB82" s="292"/>
      <c r="AC82" s="292"/>
      <c r="AD82" s="292"/>
      <c r="AE82" s="54"/>
      <c r="AF82" s="54"/>
      <c r="AG82" s="54"/>
      <c r="AH82" s="54"/>
      <c r="AI82" s="54"/>
    </row>
    <row r="83" spans="1:35" ht="9.9" customHeight="1" x14ac:dyDescent="0.3">
      <c r="I83" s="99"/>
      <c r="J83" s="99"/>
      <c r="K83" s="99"/>
      <c r="L83" s="99"/>
      <c r="M83" s="99"/>
      <c r="N83" s="99"/>
      <c r="O83" s="99"/>
      <c r="P83" s="99"/>
      <c r="Q83" s="99"/>
      <c r="R83" s="99"/>
      <c r="S83" s="99"/>
      <c r="T83" s="99"/>
      <c r="U83" s="99"/>
      <c r="V83" s="99"/>
      <c r="W83" s="99"/>
      <c r="X83" s="99"/>
      <c r="Y83" s="99"/>
      <c r="Z83" s="99"/>
      <c r="AA83" s="99"/>
      <c r="AB83" s="99"/>
      <c r="AC83" s="99"/>
      <c r="AD83" s="99"/>
      <c r="AE83" s="54"/>
      <c r="AF83" s="54"/>
      <c r="AG83" s="54"/>
      <c r="AH83" s="54"/>
      <c r="AI83" s="54"/>
    </row>
    <row r="84" spans="1:35" x14ac:dyDescent="0.3">
      <c r="E84" s="13" t="s">
        <v>223</v>
      </c>
      <c r="F84" s="295">
        <v>0</v>
      </c>
      <c r="G84" s="297"/>
      <c r="I84" s="292"/>
      <c r="J84" s="292"/>
      <c r="K84" s="292"/>
      <c r="L84" s="292"/>
      <c r="M84" s="292"/>
      <c r="N84" s="292"/>
      <c r="O84" s="292"/>
      <c r="P84" s="292"/>
      <c r="Q84" s="292"/>
      <c r="R84" s="292"/>
      <c r="S84" s="292"/>
      <c r="T84" s="292"/>
      <c r="U84" s="292"/>
      <c r="V84" s="292"/>
      <c r="W84" s="292"/>
      <c r="X84" s="292"/>
      <c r="Y84" s="292"/>
      <c r="Z84" s="292"/>
      <c r="AA84" s="292"/>
      <c r="AB84" s="292"/>
      <c r="AC84" s="292"/>
      <c r="AD84" s="292"/>
      <c r="AE84" s="54"/>
      <c r="AF84" s="54"/>
      <c r="AG84" s="54"/>
      <c r="AH84" s="54"/>
      <c r="AI84" s="54"/>
    </row>
    <row r="85" spans="1:35" ht="9.9" customHeight="1" x14ac:dyDescent="0.3">
      <c r="I85" s="99"/>
      <c r="J85" s="99"/>
      <c r="K85" s="99"/>
      <c r="L85" s="99"/>
      <c r="M85" s="99"/>
      <c r="N85" s="99"/>
      <c r="O85" s="99"/>
      <c r="P85" s="99"/>
      <c r="Q85" s="99"/>
      <c r="R85" s="99"/>
      <c r="S85" s="99"/>
      <c r="T85" s="99"/>
      <c r="U85" s="99"/>
      <c r="V85" s="99"/>
      <c r="W85" s="99"/>
      <c r="X85" s="99"/>
      <c r="Y85" s="99"/>
      <c r="Z85" s="99"/>
      <c r="AA85" s="99"/>
      <c r="AB85" s="99"/>
      <c r="AC85" s="99"/>
      <c r="AD85" s="99"/>
      <c r="AE85" s="54"/>
      <c r="AF85" s="54"/>
      <c r="AG85" s="54"/>
      <c r="AH85" s="54"/>
      <c r="AI85" s="54"/>
    </row>
    <row r="86" spans="1:35" x14ac:dyDescent="0.3">
      <c r="E86" s="13" t="s">
        <v>224</v>
      </c>
      <c r="F86" s="295">
        <v>0</v>
      </c>
      <c r="G86" s="297"/>
      <c r="I86" s="292"/>
      <c r="J86" s="292"/>
      <c r="K86" s="292"/>
      <c r="L86" s="292"/>
      <c r="M86" s="292"/>
      <c r="N86" s="292"/>
      <c r="O86" s="292"/>
      <c r="P86" s="292"/>
      <c r="Q86" s="292"/>
      <c r="R86" s="292"/>
      <c r="S86" s="292"/>
      <c r="T86" s="292"/>
      <c r="U86" s="292"/>
      <c r="V86" s="292"/>
      <c r="W86" s="292"/>
      <c r="X86" s="292"/>
      <c r="Y86" s="292"/>
      <c r="Z86" s="292"/>
      <c r="AA86" s="292"/>
      <c r="AB86" s="292"/>
      <c r="AC86" s="292"/>
      <c r="AD86" s="292"/>
      <c r="AE86" s="54"/>
      <c r="AF86" s="54"/>
      <c r="AG86" s="54"/>
      <c r="AH86" s="54"/>
      <c r="AI86" s="54"/>
    </row>
    <row r="87" spans="1:35" ht="9.9" customHeight="1" x14ac:dyDescent="0.3">
      <c r="I87" s="99"/>
      <c r="J87" s="99"/>
      <c r="K87" s="99"/>
      <c r="L87" s="99"/>
      <c r="M87" s="99"/>
      <c r="N87" s="99"/>
      <c r="O87" s="99"/>
      <c r="P87" s="99"/>
      <c r="Q87" s="99"/>
      <c r="R87" s="99"/>
      <c r="S87" s="99"/>
      <c r="T87" s="99"/>
      <c r="U87" s="99"/>
      <c r="V87" s="99"/>
      <c r="W87" s="99"/>
      <c r="X87" s="99"/>
      <c r="Y87" s="99"/>
      <c r="Z87" s="99"/>
      <c r="AA87" s="99"/>
      <c r="AB87" s="99"/>
      <c r="AC87" s="99"/>
      <c r="AD87" s="99"/>
      <c r="AE87" s="54"/>
      <c r="AF87" s="54"/>
      <c r="AG87" s="54"/>
      <c r="AH87" s="54"/>
      <c r="AI87" s="54"/>
    </row>
    <row r="88" spans="1:35" x14ac:dyDescent="0.3">
      <c r="E88" s="13" t="s">
        <v>225</v>
      </c>
      <c r="F88" s="298">
        <f>ROUNDUP(F82,0)+ROUNDUP(F84,0)+ROUNDUP(F861,0)+ROUNDUP(F86,0)</f>
        <v>0</v>
      </c>
      <c r="G88" s="299"/>
      <c r="I88" s="293" t="s">
        <v>246</v>
      </c>
      <c r="J88" s="293"/>
      <c r="K88" s="293"/>
      <c r="L88" s="293"/>
      <c r="M88" s="292"/>
      <c r="N88" s="292"/>
      <c r="O88" s="292"/>
      <c r="P88" s="292"/>
      <c r="Q88" s="292"/>
      <c r="R88" s="292"/>
      <c r="S88" s="292"/>
      <c r="T88" s="292"/>
      <c r="U88" s="292"/>
      <c r="V88" s="292"/>
      <c r="W88" s="292"/>
      <c r="X88" s="292"/>
      <c r="Y88" s="292"/>
      <c r="Z88" s="292"/>
      <c r="AA88" s="292"/>
      <c r="AB88" s="292"/>
      <c r="AC88" s="292"/>
      <c r="AD88" s="292"/>
      <c r="AE88" s="199"/>
      <c r="AF88" s="199"/>
      <c r="AG88" s="199"/>
      <c r="AH88" s="199"/>
      <c r="AI88" s="199"/>
    </row>
    <row r="89" spans="1:35" ht="15" customHeight="1" x14ac:dyDescent="0.3">
      <c r="A89" s="106"/>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c r="AC89" s="27"/>
      <c r="AD89" s="27"/>
      <c r="AE89" s="27"/>
      <c r="AF89" s="27"/>
      <c r="AI89" s="1"/>
    </row>
    <row r="90" spans="1:35" x14ac:dyDescent="0.3">
      <c r="A90" s="258" t="s">
        <v>27</v>
      </c>
      <c r="I90" s="10" t="s">
        <v>24</v>
      </c>
      <c r="J90" s="10"/>
      <c r="K90" s="10"/>
      <c r="L90" s="10"/>
    </row>
    <row r="91" spans="1:35" x14ac:dyDescent="0.3">
      <c r="A91" s="10"/>
      <c r="E91" s="13" t="s">
        <v>226</v>
      </c>
      <c r="F91" s="295" t="s">
        <v>277</v>
      </c>
      <c r="G91" s="296"/>
      <c r="H91" s="296"/>
      <c r="I91" s="297"/>
      <c r="J91" s="54"/>
      <c r="K91" s="292" t="s">
        <v>623</v>
      </c>
      <c r="L91" s="292"/>
      <c r="M91" s="292"/>
      <c r="N91" s="292"/>
      <c r="O91" s="292"/>
      <c r="P91" s="292"/>
      <c r="Q91" s="292"/>
      <c r="R91" s="292"/>
      <c r="S91" s="292"/>
      <c r="T91" s="292"/>
      <c r="U91" s="292"/>
      <c r="V91" s="292"/>
      <c r="W91" s="292"/>
      <c r="X91" s="292"/>
      <c r="Y91" s="292"/>
      <c r="Z91" s="292"/>
      <c r="AA91" s="292"/>
      <c r="AB91" s="292"/>
      <c r="AC91" s="292"/>
      <c r="AD91" s="292"/>
    </row>
    <row r="92" spans="1:35" ht="9.9" customHeight="1" x14ac:dyDescent="0.3">
      <c r="A92" s="10"/>
      <c r="I92" s="10"/>
      <c r="J92" s="10"/>
      <c r="K92" s="10"/>
      <c r="L92" s="10"/>
    </row>
    <row r="93" spans="1:35" x14ac:dyDescent="0.3">
      <c r="E93" s="13" t="s">
        <v>227</v>
      </c>
      <c r="F93" s="295"/>
      <c r="G93" s="297"/>
      <c r="I93" s="292"/>
      <c r="J93" s="292"/>
      <c r="K93" s="292"/>
      <c r="L93" s="292"/>
      <c r="M93" s="292"/>
      <c r="N93" s="292"/>
      <c r="O93" s="292"/>
      <c r="P93" s="292"/>
      <c r="Q93" s="292"/>
      <c r="R93" s="292"/>
      <c r="S93" s="292"/>
      <c r="T93" s="292"/>
      <c r="U93" s="292"/>
      <c r="V93" s="292"/>
      <c r="W93" s="292"/>
      <c r="X93" s="292"/>
      <c r="Y93" s="292"/>
      <c r="Z93" s="292"/>
      <c r="AA93" s="292"/>
      <c r="AB93" s="292"/>
      <c r="AC93" s="292"/>
      <c r="AD93" s="292"/>
      <c r="AE93" s="54"/>
      <c r="AF93" s="54"/>
      <c r="AG93" s="54"/>
      <c r="AH93" s="54"/>
      <c r="AI93" s="54"/>
    </row>
    <row r="94" spans="1:35" ht="9.9" customHeight="1" x14ac:dyDescent="0.3">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row>
    <row r="95" spans="1:35" x14ac:dyDescent="0.3">
      <c r="E95" s="13" t="s">
        <v>228</v>
      </c>
      <c r="F95" s="295"/>
      <c r="G95" s="297"/>
      <c r="I95" s="293" t="s">
        <v>201</v>
      </c>
      <c r="J95" s="293"/>
      <c r="K95" s="293"/>
      <c r="L95" s="293"/>
      <c r="M95" s="293"/>
      <c r="N95" s="293"/>
      <c r="O95" s="293"/>
      <c r="P95" s="293"/>
      <c r="Q95" s="293"/>
      <c r="R95" s="293"/>
      <c r="S95" s="293"/>
      <c r="T95" s="293"/>
      <c r="U95" s="293"/>
      <c r="V95" s="292"/>
      <c r="W95" s="292"/>
      <c r="X95" s="292"/>
      <c r="Y95" s="292"/>
      <c r="Z95" s="292"/>
      <c r="AA95" s="292"/>
      <c r="AB95" s="292"/>
      <c r="AC95" s="292"/>
      <c r="AD95" s="292"/>
      <c r="AE95" s="54"/>
      <c r="AF95" s="54"/>
      <c r="AG95" s="54"/>
      <c r="AH95" s="54"/>
      <c r="AI95" s="54"/>
    </row>
    <row r="96" spans="1:35" ht="9.9" customHeight="1" x14ac:dyDescent="0.3">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c r="AH96" s="54"/>
      <c r="AI96" s="54"/>
    </row>
    <row r="97" spans="1:35" x14ac:dyDescent="0.3">
      <c r="E97" s="13" t="s">
        <v>428</v>
      </c>
      <c r="F97" s="295"/>
      <c r="G97" s="297"/>
      <c r="I97" s="303"/>
      <c r="J97" s="303"/>
      <c r="K97" s="303"/>
      <c r="L97" s="303"/>
      <c r="M97" s="303"/>
      <c r="N97" s="303"/>
      <c r="O97" s="303"/>
      <c r="P97" s="303"/>
      <c r="Q97" s="303"/>
      <c r="R97" s="303"/>
      <c r="S97" s="303"/>
      <c r="T97" s="303"/>
      <c r="U97" s="303"/>
      <c r="V97" s="303"/>
      <c r="W97" s="303"/>
      <c r="X97" s="303"/>
      <c r="Y97" s="303"/>
      <c r="Z97" s="303"/>
      <c r="AA97" s="303"/>
      <c r="AB97" s="303"/>
      <c r="AC97" s="303"/>
      <c r="AD97" s="303"/>
      <c r="AE97" s="54"/>
      <c r="AF97" s="54"/>
      <c r="AG97" s="54"/>
      <c r="AH97" s="54"/>
      <c r="AI97" s="54"/>
    </row>
    <row r="98" spans="1:35" ht="9.9" customHeight="1" x14ac:dyDescent="0.3">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c r="AI98" s="54"/>
    </row>
    <row r="99" spans="1:35" x14ac:dyDescent="0.3">
      <c r="E99" s="13" t="s">
        <v>429</v>
      </c>
      <c r="F99" s="295"/>
      <c r="G99" s="297"/>
      <c r="I99" s="303"/>
      <c r="J99" s="303"/>
      <c r="K99" s="303"/>
      <c r="L99" s="303"/>
      <c r="M99" s="303"/>
      <c r="N99" s="303"/>
      <c r="O99" s="303"/>
      <c r="P99" s="303"/>
      <c r="Q99" s="303"/>
      <c r="R99" s="303"/>
      <c r="S99" s="303"/>
      <c r="T99" s="303"/>
      <c r="U99" s="303"/>
      <c r="V99" s="303"/>
      <c r="W99" s="303"/>
      <c r="X99" s="303"/>
      <c r="Y99" s="303"/>
      <c r="Z99" s="303"/>
      <c r="AA99" s="303"/>
      <c r="AB99" s="303"/>
      <c r="AC99" s="303"/>
      <c r="AD99" s="303"/>
      <c r="AE99" s="54"/>
      <c r="AF99" s="54"/>
      <c r="AG99" s="54"/>
      <c r="AH99" s="54"/>
      <c r="AI99" s="54"/>
    </row>
    <row r="100" spans="1:35" ht="9.9" customHeight="1" x14ac:dyDescent="0.3">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row>
    <row r="101" spans="1:35" x14ac:dyDescent="0.3">
      <c r="E101" s="13" t="s">
        <v>229</v>
      </c>
      <c r="F101" s="313">
        <f>IF(AND(F93=0,F95=0),0,ROUNDUP(F93,0)+ROUNDUP(F95,0)+ROUNDUP(F97,0)+ROUNDUP(F99,0))</f>
        <v>0</v>
      </c>
      <c r="G101" s="314"/>
      <c r="I101" s="293" t="s">
        <v>202</v>
      </c>
      <c r="J101" s="293"/>
      <c r="K101" s="293"/>
      <c r="L101" s="293"/>
      <c r="M101" s="292"/>
      <c r="N101" s="292"/>
      <c r="O101" s="292"/>
      <c r="P101" s="292"/>
      <c r="Q101" s="292"/>
      <c r="R101" s="292"/>
      <c r="S101" s="292"/>
      <c r="T101" s="292"/>
      <c r="U101" s="292"/>
      <c r="V101" s="292"/>
      <c r="W101" s="292"/>
      <c r="X101" s="292"/>
      <c r="Y101" s="292"/>
      <c r="Z101" s="292"/>
      <c r="AA101" s="292"/>
      <c r="AB101" s="292"/>
      <c r="AC101" s="292"/>
      <c r="AD101" s="292"/>
      <c r="AE101" s="199"/>
      <c r="AF101" s="199"/>
      <c r="AG101" s="199"/>
      <c r="AH101" s="199"/>
      <c r="AI101" s="199"/>
    </row>
    <row r="102" spans="1:35" ht="9.9" customHeight="1" x14ac:dyDescent="0.3">
      <c r="I102" s="54"/>
      <c r="J102" s="54"/>
      <c r="K102" s="54"/>
      <c r="L102" s="54"/>
      <c r="M102" s="54"/>
      <c r="N102" s="54"/>
      <c r="O102" s="54"/>
      <c r="P102" s="54"/>
      <c r="Q102" s="54"/>
      <c r="R102" s="54"/>
      <c r="S102" s="54"/>
      <c r="T102" s="54"/>
      <c r="U102" s="54"/>
      <c r="V102" s="54"/>
      <c r="W102" s="54"/>
      <c r="X102" s="54"/>
      <c r="Y102" s="54"/>
      <c r="Z102" s="54"/>
      <c r="AA102" s="54"/>
      <c r="AB102" s="54"/>
      <c r="AC102" s="54"/>
      <c r="AD102" s="54"/>
      <c r="AE102" s="54"/>
      <c r="AF102" s="54"/>
      <c r="AG102" s="54"/>
      <c r="AH102" s="54"/>
      <c r="AI102" s="54"/>
    </row>
    <row r="103" spans="1:35" x14ac:dyDescent="0.3">
      <c r="E103" s="13" t="s">
        <v>230</v>
      </c>
      <c r="F103" s="313">
        <f>MAX(F88,F101)</f>
        <v>0</v>
      </c>
      <c r="G103" s="314"/>
      <c r="I103" s="293" t="s">
        <v>245</v>
      </c>
      <c r="J103" s="293"/>
      <c r="K103" s="293"/>
      <c r="L103" s="293"/>
      <c r="M103" s="293"/>
      <c r="N103" s="292"/>
      <c r="O103" s="292"/>
      <c r="P103" s="292"/>
      <c r="Q103" s="292"/>
      <c r="R103" s="292"/>
      <c r="S103" s="292"/>
      <c r="T103" s="292"/>
      <c r="U103" s="292"/>
      <c r="V103" s="292"/>
      <c r="W103" s="292"/>
      <c r="X103" s="292"/>
      <c r="Y103" s="292"/>
      <c r="Z103" s="292"/>
      <c r="AA103" s="292"/>
      <c r="AB103" s="292"/>
      <c r="AC103" s="292"/>
      <c r="AD103" s="292"/>
      <c r="AE103" s="199"/>
      <c r="AF103" s="199"/>
      <c r="AG103" s="199"/>
      <c r="AH103" s="199"/>
      <c r="AI103" s="199"/>
    </row>
    <row r="104" spans="1:35" ht="9.9" customHeight="1" x14ac:dyDescent="0.3"/>
    <row r="105" spans="1:35" ht="15" customHeight="1" x14ac:dyDescent="0.3">
      <c r="A105" s="218" t="s">
        <v>447</v>
      </c>
      <c r="I105" s="10" t="s">
        <v>24</v>
      </c>
      <c r="J105" s="10"/>
      <c r="K105" s="10"/>
      <c r="L105" s="10"/>
    </row>
    <row r="106" spans="1:35" ht="6.6" customHeight="1" x14ac:dyDescent="0.3">
      <c r="A106" s="218"/>
      <c r="I106" s="10"/>
      <c r="J106" s="10"/>
      <c r="K106" s="10"/>
      <c r="L106" s="10"/>
    </row>
    <row r="107" spans="1:35" x14ac:dyDescent="0.3">
      <c r="E107" s="14" t="s">
        <v>231</v>
      </c>
      <c r="F107" s="307">
        <f>F103+F74</f>
        <v>0</v>
      </c>
      <c r="G107" s="308"/>
      <c r="H107" s="10"/>
      <c r="I107" s="293" t="s">
        <v>247</v>
      </c>
      <c r="J107" s="293"/>
      <c r="K107" s="293"/>
      <c r="L107" s="293"/>
      <c r="M107" s="292"/>
      <c r="N107" s="292"/>
      <c r="O107" s="292"/>
      <c r="P107" s="292"/>
      <c r="Q107" s="292"/>
      <c r="R107" s="292"/>
      <c r="S107" s="292"/>
      <c r="T107" s="292"/>
      <c r="U107" s="292"/>
      <c r="V107" s="292"/>
      <c r="W107" s="292"/>
      <c r="X107" s="292"/>
      <c r="Y107" s="292"/>
      <c r="Z107" s="292"/>
      <c r="AA107" s="292"/>
      <c r="AB107" s="292"/>
      <c r="AC107" s="292"/>
      <c r="AD107" s="292"/>
      <c r="AE107" s="199"/>
      <c r="AF107" s="199"/>
      <c r="AG107" s="199"/>
      <c r="AH107" s="199"/>
      <c r="AI107" s="199"/>
    </row>
    <row r="108" spans="1:35" ht="9.9" customHeight="1" x14ac:dyDescent="0.3">
      <c r="F108" s="16"/>
      <c r="G108" s="16"/>
      <c r="I108" s="54"/>
      <c r="J108" s="54"/>
      <c r="K108" s="54"/>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row>
    <row r="109" spans="1:35" x14ac:dyDescent="0.3">
      <c r="E109" s="14" t="s">
        <v>232</v>
      </c>
      <c r="F109" s="307">
        <f>ROUNDUP(MAX(IF(D66="Yes",D65),IF(E66="Yes",E65),IF(F66="Yes",F65),IF(H66="Yes",H65),0),-0.1)</f>
        <v>14</v>
      </c>
      <c r="G109" s="308"/>
      <c r="H109" s="12"/>
      <c r="I109" s="191" t="s">
        <v>211</v>
      </c>
      <c r="J109" s="292"/>
      <c r="K109" s="292"/>
      <c r="L109" s="292"/>
      <c r="M109" s="292"/>
      <c r="N109" s="292"/>
      <c r="O109" s="292"/>
      <c r="P109" s="292"/>
      <c r="Q109" s="292"/>
      <c r="R109" s="292"/>
      <c r="S109" s="292"/>
      <c r="T109" s="292"/>
      <c r="U109" s="292"/>
      <c r="V109" s="292"/>
      <c r="W109" s="292"/>
      <c r="X109" s="292"/>
      <c r="Y109" s="292"/>
      <c r="Z109" s="292"/>
      <c r="AA109" s="292"/>
      <c r="AB109" s="292"/>
      <c r="AC109" s="292"/>
      <c r="AD109" s="292"/>
      <c r="AE109" s="199"/>
      <c r="AF109" s="199"/>
      <c r="AG109" s="199"/>
      <c r="AH109" s="199"/>
      <c r="AI109" s="199"/>
    </row>
    <row r="110" spans="1:35" ht="9.9" customHeight="1" x14ac:dyDescent="0.3">
      <c r="F110" s="16"/>
      <c r="G110" s="16"/>
      <c r="I110" s="54"/>
      <c r="J110" s="54"/>
      <c r="K110" s="54"/>
      <c r="L110" s="54"/>
      <c r="M110" s="54"/>
      <c r="N110" s="54"/>
      <c r="O110" s="54"/>
      <c r="P110" s="54"/>
      <c r="Q110" s="54"/>
      <c r="R110" s="54"/>
      <c r="S110" s="54"/>
      <c r="T110" s="54"/>
      <c r="U110" s="54"/>
      <c r="V110" s="54"/>
      <c r="W110" s="54"/>
      <c r="X110" s="54"/>
      <c r="Y110" s="54"/>
      <c r="Z110" s="54"/>
      <c r="AA110" s="54"/>
      <c r="AB110" s="54"/>
      <c r="AC110" s="54"/>
      <c r="AD110" s="54"/>
      <c r="AE110" s="54"/>
      <c r="AF110" s="54"/>
      <c r="AG110" s="54"/>
      <c r="AH110" s="54"/>
      <c r="AI110" s="54"/>
    </row>
    <row r="111" spans="1:35" ht="15" customHeight="1" x14ac:dyDescent="0.3">
      <c r="E111" s="14" t="s">
        <v>233</v>
      </c>
      <c r="F111" s="307">
        <f>IF('(OPTION) Remove TCG'!E18="yes",0,ROUNDUP(SUM('(OPTION) Veh -Gate Int Time'!E39,0)+SUM('(OPTION) Time to Clear CSD'!E25,0)+F109,-0.1))</f>
        <v>14</v>
      </c>
      <c r="G111" s="308"/>
      <c r="H111" s="12"/>
      <c r="I111" s="293" t="s">
        <v>205</v>
      </c>
      <c r="J111" s="293"/>
      <c r="K111" s="293"/>
      <c r="L111" s="293"/>
      <c r="M111" s="293"/>
      <c r="N111" s="293"/>
      <c r="O111" s="293"/>
      <c r="P111" s="293"/>
      <c r="Q111" s="293"/>
      <c r="R111" s="293"/>
      <c r="S111" s="293"/>
      <c r="T111" s="293"/>
      <c r="U111" s="292"/>
      <c r="V111" s="292"/>
      <c r="W111" s="292"/>
      <c r="X111" s="292"/>
      <c r="Y111" s="292"/>
      <c r="Z111" s="292"/>
      <c r="AA111" s="292"/>
      <c r="AB111" s="292"/>
      <c r="AC111" s="292"/>
      <c r="AD111" s="292"/>
      <c r="AE111" s="54"/>
      <c r="AF111" s="54"/>
      <c r="AG111" s="54"/>
      <c r="AH111" s="54"/>
      <c r="AI111" s="54"/>
    </row>
    <row r="112" spans="1:35" ht="9.9" customHeight="1" x14ac:dyDescent="0.3">
      <c r="F112" s="16"/>
      <c r="G112" s="16"/>
      <c r="I112" s="54"/>
      <c r="J112" s="54"/>
      <c r="K112" s="54"/>
      <c r="L112" s="54"/>
      <c r="M112" s="54"/>
      <c r="N112" s="54"/>
      <c r="O112" s="54"/>
      <c r="P112" s="54"/>
      <c r="Q112" s="54"/>
      <c r="R112" s="54"/>
      <c r="S112" s="54"/>
      <c r="T112" s="54"/>
      <c r="U112" s="54"/>
      <c r="V112" s="54"/>
      <c r="W112" s="54"/>
      <c r="X112" s="54"/>
      <c r="Y112" s="54"/>
      <c r="Z112" s="54"/>
      <c r="AA112" s="54"/>
      <c r="AB112" s="54"/>
      <c r="AC112" s="54"/>
      <c r="AD112" s="54"/>
      <c r="AE112" s="54"/>
      <c r="AF112" s="54"/>
      <c r="AG112" s="54"/>
      <c r="AH112" s="54"/>
      <c r="AI112" s="54"/>
    </row>
    <row r="113" spans="1:35" x14ac:dyDescent="0.3">
      <c r="A113" s="10"/>
      <c r="E113" s="13" t="s">
        <v>234</v>
      </c>
      <c r="F113" s="309">
        <v>4</v>
      </c>
      <c r="G113" s="310"/>
      <c r="I113" s="292"/>
      <c r="J113" s="292"/>
      <c r="K113" s="292"/>
      <c r="L113" s="292"/>
      <c r="M113" s="292"/>
      <c r="N113" s="292"/>
      <c r="O113" s="292"/>
      <c r="P113" s="292"/>
      <c r="Q113" s="292"/>
      <c r="R113" s="292"/>
      <c r="S113" s="292"/>
      <c r="T113" s="292"/>
      <c r="U113" s="292"/>
      <c r="V113" s="292"/>
      <c r="W113" s="292"/>
      <c r="X113" s="292"/>
      <c r="Y113" s="292"/>
      <c r="Z113" s="292"/>
      <c r="AA113" s="292"/>
      <c r="AB113" s="292"/>
      <c r="AC113" s="292"/>
      <c r="AD113" s="292"/>
      <c r="AE113" s="54"/>
      <c r="AF113" s="54"/>
      <c r="AG113" s="54"/>
      <c r="AH113" s="54"/>
      <c r="AI113" s="54"/>
    </row>
    <row r="114" spans="1:35" ht="9.9" customHeight="1" x14ac:dyDescent="0.3">
      <c r="E114" s="1"/>
      <c r="F114" s="186"/>
      <c r="G114" s="16"/>
      <c r="I114" s="54"/>
      <c r="J114" s="54"/>
      <c r="K114" s="54"/>
      <c r="L114" s="54"/>
      <c r="M114" s="54"/>
      <c r="N114" s="54"/>
      <c r="O114" s="54"/>
      <c r="P114" s="54"/>
      <c r="Q114" s="54"/>
      <c r="R114" s="54"/>
      <c r="S114" s="54"/>
      <c r="T114" s="54"/>
      <c r="U114" s="54"/>
      <c r="V114" s="54"/>
      <c r="W114" s="54"/>
      <c r="X114" s="54"/>
      <c r="Y114" s="54"/>
      <c r="Z114" s="54"/>
      <c r="AA114" s="54"/>
      <c r="AB114" s="54"/>
      <c r="AC114" s="54"/>
      <c r="AD114" s="54"/>
      <c r="AE114" s="54"/>
      <c r="AF114" s="54"/>
      <c r="AG114" s="54"/>
      <c r="AH114" s="54"/>
      <c r="AI114" s="54"/>
    </row>
    <row r="115" spans="1:35" ht="15" customHeight="1" x14ac:dyDescent="0.3">
      <c r="E115" s="14" t="s">
        <v>235</v>
      </c>
      <c r="F115" s="307">
        <f>IF('(OPTION) Remove TCG'!E18="yes",ROUNDUP(F107+F111+F113+'(OPTION) App-Con Veh Time'!E32+'(OPTION) Remove TCG'!E20,0),ROUNDUP(F107+F111+F113+'(OPTION) App-Con Veh Time'!E32,0))</f>
        <v>34</v>
      </c>
      <c r="G115" s="308"/>
      <c r="I115" s="293" t="s">
        <v>629</v>
      </c>
      <c r="J115" s="293"/>
      <c r="K115" s="293"/>
      <c r="L115" s="293"/>
      <c r="M115" s="293"/>
      <c r="N115" s="293"/>
      <c r="O115" s="293"/>
      <c r="P115" s="292"/>
      <c r="Q115" s="292"/>
      <c r="R115" s="292"/>
      <c r="S115" s="292"/>
      <c r="T115" s="292"/>
      <c r="U115" s="292"/>
      <c r="V115" s="292"/>
      <c r="W115" s="292"/>
      <c r="X115" s="292"/>
      <c r="Y115" s="292"/>
      <c r="Z115" s="292"/>
      <c r="AA115" s="292"/>
      <c r="AB115" s="292"/>
      <c r="AC115" s="292"/>
      <c r="AD115" s="292"/>
      <c r="AE115" s="199"/>
      <c r="AF115" s="199"/>
      <c r="AG115" s="199"/>
      <c r="AH115" s="199"/>
      <c r="AI115" s="199"/>
    </row>
    <row r="116" spans="1:35" ht="9.9" customHeight="1" x14ac:dyDescent="0.3">
      <c r="E116" s="1"/>
      <c r="F116" s="1"/>
    </row>
    <row r="117" spans="1:35" ht="29.85" customHeight="1" x14ac:dyDescent="0.3">
      <c r="E117" s="1"/>
      <c r="F117" s="1"/>
    </row>
    <row r="118" spans="1:35" ht="30.15" customHeight="1" x14ac:dyDescent="0.3">
      <c r="A118" s="305" t="s">
        <v>180</v>
      </c>
      <c r="B118" s="305"/>
      <c r="C118" s="305"/>
      <c r="D118" s="305"/>
      <c r="E118" s="305"/>
      <c r="F118" s="305"/>
      <c r="G118" s="305"/>
      <c r="H118" s="305"/>
      <c r="I118" s="305"/>
      <c r="J118" s="27"/>
      <c r="K118" s="27"/>
      <c r="L118" s="27"/>
      <c r="M118" s="27"/>
      <c r="N118" s="27"/>
      <c r="O118" s="27"/>
      <c r="P118" s="27"/>
      <c r="Q118" s="27"/>
      <c r="R118" s="27"/>
      <c r="S118" s="27"/>
      <c r="T118" s="27"/>
      <c r="U118" s="27"/>
      <c r="V118" s="27"/>
      <c r="W118" s="27"/>
      <c r="X118" s="27"/>
      <c r="Y118" s="27"/>
      <c r="Z118" s="27"/>
      <c r="AA118" s="27"/>
      <c r="AB118" s="27"/>
      <c r="AC118" s="27"/>
      <c r="AD118" s="1" t="s">
        <v>219</v>
      </c>
      <c r="AE118" s="27"/>
      <c r="AF118" s="27"/>
      <c r="AG118" s="27"/>
      <c r="AH118" s="27"/>
      <c r="AI118" s="27"/>
    </row>
    <row r="119" spans="1:35" ht="39" customHeight="1" x14ac:dyDescent="0.3">
      <c r="B119" s="216"/>
      <c r="C119" s="216"/>
      <c r="D119" s="216"/>
      <c r="E119" s="216"/>
      <c r="F119" s="216"/>
      <c r="G119" s="216"/>
      <c r="H119" s="216"/>
      <c r="I119" s="216"/>
      <c r="J119" s="27"/>
      <c r="K119" s="27"/>
      <c r="L119" s="27"/>
      <c r="M119" s="27"/>
      <c r="N119" s="27"/>
      <c r="O119" s="27"/>
      <c r="P119" s="27"/>
      <c r="Q119" s="27"/>
      <c r="R119" s="27"/>
      <c r="S119" s="27"/>
      <c r="T119" s="27"/>
      <c r="U119" s="27"/>
      <c r="V119" s="27"/>
      <c r="W119" s="27"/>
      <c r="X119" s="27"/>
      <c r="Y119" s="27"/>
      <c r="Z119" s="27"/>
      <c r="AA119" s="27"/>
      <c r="AB119" s="27"/>
      <c r="AC119" s="27"/>
      <c r="AD119" s="183" t="s">
        <v>615</v>
      </c>
      <c r="AE119" s="27"/>
      <c r="AF119" s="27"/>
      <c r="AG119" s="27"/>
      <c r="AH119" s="27"/>
      <c r="AI119" s="27"/>
    </row>
    <row r="120" spans="1:35" ht="15" customHeight="1" x14ac:dyDescent="0.4">
      <c r="A120" s="216"/>
      <c r="B120" s="216"/>
      <c r="C120" s="216"/>
      <c r="D120" s="216"/>
      <c r="E120" s="216"/>
      <c r="F120" s="216"/>
      <c r="G120" s="216"/>
      <c r="H120" s="216"/>
      <c r="I120" s="216"/>
      <c r="J120" s="27"/>
      <c r="K120" s="27"/>
      <c r="L120" s="27"/>
      <c r="M120" s="27"/>
      <c r="N120" s="27"/>
      <c r="O120" s="27"/>
      <c r="P120" s="27"/>
      <c r="Q120" s="27"/>
      <c r="R120" s="27"/>
      <c r="S120" s="27"/>
      <c r="T120" s="27"/>
      <c r="U120" s="27"/>
      <c r="V120" s="27"/>
      <c r="W120" s="27"/>
      <c r="X120" s="27"/>
      <c r="Y120" s="27"/>
      <c r="Z120" s="27"/>
      <c r="AA120" s="27"/>
      <c r="AB120" s="27"/>
      <c r="AC120" s="27"/>
      <c r="AD120" s="217"/>
      <c r="AE120" s="27"/>
      <c r="AF120" s="27"/>
      <c r="AG120" s="27"/>
      <c r="AH120" s="27"/>
      <c r="AI120" s="27"/>
    </row>
    <row r="121" spans="1:35" ht="15" x14ac:dyDescent="0.3">
      <c r="A121" s="218" t="s">
        <v>448</v>
      </c>
      <c r="I121" s="10" t="s">
        <v>24</v>
      </c>
      <c r="J121" s="10"/>
      <c r="K121" s="10"/>
    </row>
    <row r="122" spans="1:35" ht="6.6" customHeight="1" x14ac:dyDescent="0.3">
      <c r="A122" s="218"/>
      <c r="I122" s="10"/>
      <c r="J122" s="10"/>
      <c r="K122" s="10"/>
    </row>
    <row r="123" spans="1:35" x14ac:dyDescent="0.3">
      <c r="E123" s="13" t="s">
        <v>236</v>
      </c>
      <c r="F123" s="295">
        <v>0</v>
      </c>
      <c r="G123" s="297"/>
      <c r="I123" s="292"/>
      <c r="J123" s="292"/>
      <c r="K123" s="292"/>
      <c r="L123" s="292"/>
      <c r="M123" s="292"/>
      <c r="N123" s="292"/>
      <c r="O123" s="292"/>
      <c r="P123" s="292"/>
      <c r="Q123" s="292"/>
      <c r="R123" s="292"/>
      <c r="S123" s="292"/>
      <c r="T123" s="292"/>
      <c r="U123" s="292"/>
      <c r="V123" s="292"/>
      <c r="W123" s="292"/>
      <c r="X123" s="292"/>
      <c r="Y123" s="292"/>
      <c r="Z123" s="292"/>
      <c r="AA123" s="292"/>
      <c r="AB123" s="292"/>
      <c r="AC123" s="292"/>
      <c r="AD123" s="292"/>
      <c r="AE123" s="54"/>
      <c r="AF123" s="54"/>
      <c r="AG123" s="54"/>
      <c r="AH123" s="54"/>
      <c r="AI123" s="54"/>
    </row>
    <row r="124" spans="1:35" ht="9.9" customHeight="1" x14ac:dyDescent="0.3">
      <c r="I124" s="54"/>
      <c r="J124" s="54"/>
      <c r="K124" s="54"/>
      <c r="L124" s="54"/>
      <c r="M124" s="54"/>
      <c r="N124" s="54"/>
      <c r="O124" s="54"/>
      <c r="P124" s="54"/>
      <c r="Q124" s="54"/>
      <c r="R124" s="54"/>
      <c r="S124" s="54"/>
      <c r="T124" s="54"/>
      <c r="U124" s="54"/>
      <c r="V124" s="54"/>
      <c r="W124" s="54"/>
      <c r="X124" s="54"/>
      <c r="Y124" s="54"/>
      <c r="Z124" s="54"/>
      <c r="AA124" s="54"/>
      <c r="AB124" s="54"/>
      <c r="AC124" s="54"/>
      <c r="AD124" s="54"/>
      <c r="AE124" s="54"/>
      <c r="AF124" s="54"/>
      <c r="AG124" s="54"/>
      <c r="AH124" s="54"/>
      <c r="AI124" s="54"/>
    </row>
    <row r="125" spans="1:35" x14ac:dyDescent="0.3">
      <c r="E125" s="13" t="s">
        <v>237</v>
      </c>
      <c r="F125" s="295">
        <v>12</v>
      </c>
      <c r="G125" s="297"/>
      <c r="I125" s="292"/>
      <c r="J125" s="292"/>
      <c r="K125" s="292"/>
      <c r="L125" s="292"/>
      <c r="M125" s="292"/>
      <c r="N125" s="292"/>
      <c r="O125" s="292"/>
      <c r="P125" s="292"/>
      <c r="Q125" s="292"/>
      <c r="R125" s="292"/>
      <c r="S125" s="292"/>
      <c r="T125" s="292"/>
      <c r="U125" s="292"/>
      <c r="V125" s="292"/>
      <c r="W125" s="292"/>
      <c r="X125" s="292"/>
      <c r="Y125" s="292"/>
      <c r="Z125" s="292"/>
      <c r="AA125" s="292"/>
      <c r="AB125" s="292"/>
      <c r="AC125" s="292"/>
      <c r="AD125" s="292"/>
      <c r="AE125" s="54"/>
      <c r="AF125" s="54"/>
      <c r="AG125" s="54"/>
      <c r="AH125" s="54"/>
      <c r="AI125" s="54"/>
    </row>
    <row r="126" spans="1:35" ht="9.9" customHeight="1" x14ac:dyDescent="0.3">
      <c r="E126" s="13"/>
      <c r="F126" s="13"/>
      <c r="I126" s="98"/>
      <c r="J126" s="98"/>
      <c r="K126" s="98"/>
      <c r="L126" s="98"/>
      <c r="M126" s="98"/>
      <c r="N126" s="98"/>
      <c r="O126" s="98"/>
      <c r="P126" s="98"/>
      <c r="Q126" s="98"/>
      <c r="R126" s="98"/>
      <c r="S126" s="98"/>
      <c r="T126" s="98"/>
      <c r="U126" s="98"/>
      <c r="V126" s="98"/>
      <c r="W126" s="98"/>
      <c r="X126" s="98"/>
      <c r="Y126" s="98"/>
      <c r="Z126" s="98"/>
      <c r="AA126" s="98"/>
      <c r="AB126" s="98"/>
      <c r="AC126" s="98"/>
      <c r="AD126" s="98"/>
      <c r="AE126" s="98"/>
      <c r="AF126" s="98"/>
      <c r="AG126" s="98"/>
      <c r="AH126" s="98"/>
      <c r="AI126" s="98"/>
    </row>
    <row r="127" spans="1:35" x14ac:dyDescent="0.3">
      <c r="E127" s="13" t="s">
        <v>238</v>
      </c>
      <c r="F127" s="309">
        <v>20</v>
      </c>
      <c r="G127" s="310"/>
      <c r="H127" s="11"/>
      <c r="I127" s="292"/>
      <c r="J127" s="292"/>
      <c r="K127" s="292"/>
      <c r="L127" s="292"/>
      <c r="M127" s="292"/>
      <c r="N127" s="292"/>
      <c r="O127" s="292"/>
      <c r="P127" s="292"/>
      <c r="Q127" s="292"/>
      <c r="R127" s="292"/>
      <c r="S127" s="292"/>
      <c r="T127" s="292"/>
      <c r="U127" s="292"/>
      <c r="V127" s="292"/>
      <c r="W127" s="292"/>
      <c r="X127" s="292"/>
      <c r="Y127" s="292"/>
      <c r="Z127" s="292"/>
      <c r="AA127" s="292"/>
      <c r="AB127" s="292"/>
      <c r="AC127" s="292"/>
      <c r="AD127" s="292"/>
      <c r="AE127" s="54"/>
      <c r="AF127" s="54"/>
      <c r="AG127" s="54"/>
      <c r="AH127" s="54"/>
      <c r="AI127" s="54"/>
    </row>
    <row r="128" spans="1:35" ht="9.9" customHeight="1" x14ac:dyDescent="0.3">
      <c r="I128" s="54"/>
      <c r="J128" s="54"/>
      <c r="K128" s="54"/>
      <c r="L128" s="54"/>
      <c r="M128" s="54"/>
      <c r="N128" s="54"/>
      <c r="O128" s="54"/>
      <c r="P128" s="54"/>
      <c r="Q128" s="54"/>
      <c r="R128" s="54"/>
      <c r="S128" s="54"/>
      <c r="T128" s="54"/>
      <c r="U128" s="54"/>
      <c r="V128" s="54"/>
      <c r="W128" s="54"/>
      <c r="X128" s="54"/>
      <c r="Y128" s="54"/>
      <c r="Z128" s="54"/>
      <c r="AA128" s="54"/>
      <c r="AB128" s="54"/>
      <c r="AC128" s="54"/>
      <c r="AD128" s="54"/>
      <c r="AE128" s="54"/>
      <c r="AF128" s="54"/>
      <c r="AG128" s="54"/>
      <c r="AH128" s="54"/>
      <c r="AI128" s="54"/>
    </row>
    <row r="129" spans="1:35" x14ac:dyDescent="0.3">
      <c r="E129" s="13" t="s">
        <v>424</v>
      </c>
      <c r="F129" s="313">
        <f>ROUNDUP(IF(E44&gt;35,(E44-35)/10,0),-0.1)</f>
        <v>0</v>
      </c>
      <c r="G129" s="314"/>
      <c r="I129" s="293" t="str">
        <f>"CT = (MTCD - 35 ft)*0.1 sec/ft (Round the result to the nearest second)."</f>
        <v>CT = (MTCD - 35 ft)*0.1 sec/ft (Round the result to the nearest second).</v>
      </c>
      <c r="J129" s="293"/>
      <c r="K129" s="293"/>
      <c r="L129" s="293"/>
      <c r="M129" s="293"/>
      <c r="N129" s="293"/>
      <c r="O129" s="293"/>
      <c r="P129" s="293"/>
      <c r="Q129" s="293"/>
      <c r="R129" s="293"/>
      <c r="S129" s="293"/>
      <c r="T129" s="293"/>
      <c r="U129" s="293"/>
      <c r="V129" s="293"/>
      <c r="W129" s="293"/>
      <c r="X129" s="293"/>
      <c r="Y129" s="293"/>
      <c r="Z129" s="293"/>
      <c r="AA129" s="293"/>
      <c r="AB129" s="292"/>
      <c r="AC129" s="292"/>
      <c r="AD129" s="292"/>
      <c r="AE129" s="54"/>
      <c r="AF129" s="54"/>
      <c r="AG129" s="54"/>
      <c r="AH129" s="54"/>
      <c r="AI129" s="54"/>
    </row>
    <row r="130" spans="1:35" ht="9.9" customHeight="1" x14ac:dyDescent="0.3">
      <c r="I130" s="54"/>
      <c r="J130" s="54"/>
      <c r="K130" s="54"/>
      <c r="L130" s="54"/>
      <c r="M130" s="54"/>
      <c r="N130" s="54"/>
      <c r="O130" s="54"/>
      <c r="P130" s="54"/>
      <c r="Q130" s="54"/>
      <c r="R130" s="54"/>
      <c r="S130" s="54"/>
      <c r="T130" s="54"/>
      <c r="U130" s="54"/>
      <c r="V130" s="54"/>
      <c r="W130" s="54"/>
      <c r="X130" s="54"/>
      <c r="Y130" s="54"/>
      <c r="Z130" s="54"/>
      <c r="AA130" s="54"/>
      <c r="AB130" s="54"/>
      <c r="AC130" s="54"/>
      <c r="AD130" s="54"/>
      <c r="AE130" s="54"/>
      <c r="AF130" s="54"/>
      <c r="AG130" s="54"/>
      <c r="AH130" s="54"/>
      <c r="AI130" s="54"/>
    </row>
    <row r="131" spans="1:35" x14ac:dyDescent="0.3">
      <c r="E131" s="13" t="s">
        <v>239</v>
      </c>
      <c r="F131" s="313">
        <f>ROUNDUP(F127+F129,0)</f>
        <v>20</v>
      </c>
      <c r="G131" s="314"/>
      <c r="I131" s="293" t="s">
        <v>248</v>
      </c>
      <c r="J131" s="293"/>
      <c r="K131" s="293"/>
      <c r="L131" s="293"/>
      <c r="M131" s="292"/>
      <c r="N131" s="292"/>
      <c r="O131" s="292"/>
      <c r="P131" s="292"/>
      <c r="Q131" s="292"/>
      <c r="R131" s="292"/>
      <c r="S131" s="292"/>
      <c r="T131" s="292"/>
      <c r="U131" s="292"/>
      <c r="V131" s="292"/>
      <c r="W131" s="292"/>
      <c r="X131" s="292"/>
      <c r="Y131" s="292"/>
      <c r="Z131" s="292"/>
      <c r="AA131" s="292"/>
      <c r="AB131" s="292"/>
      <c r="AC131" s="292"/>
      <c r="AD131" s="292"/>
      <c r="AE131" s="199"/>
      <c r="AF131" s="199"/>
      <c r="AG131" s="199"/>
      <c r="AH131" s="199"/>
      <c r="AI131" s="199"/>
    </row>
    <row r="132" spans="1:35" ht="9.9" customHeight="1" x14ac:dyDescent="0.3">
      <c r="I132" s="54"/>
      <c r="J132" s="54"/>
      <c r="K132" s="54"/>
      <c r="L132" s="54"/>
      <c r="M132" s="54"/>
      <c r="N132" s="54"/>
      <c r="O132" s="54"/>
      <c r="P132" s="54"/>
      <c r="Q132" s="54"/>
      <c r="R132" s="54"/>
      <c r="S132" s="54"/>
      <c r="T132" s="54"/>
      <c r="U132" s="54"/>
      <c r="V132" s="54"/>
      <c r="W132" s="54"/>
      <c r="X132" s="54"/>
      <c r="Y132" s="54"/>
      <c r="Z132" s="54"/>
      <c r="AA132" s="54"/>
      <c r="AB132" s="54"/>
      <c r="AC132" s="54"/>
      <c r="AD132" s="54"/>
      <c r="AE132" s="54"/>
      <c r="AF132" s="54"/>
      <c r="AG132" s="54"/>
      <c r="AH132" s="54"/>
      <c r="AI132" s="54"/>
    </row>
    <row r="133" spans="1:35" x14ac:dyDescent="0.3">
      <c r="E133" s="13" t="s">
        <v>240</v>
      </c>
      <c r="F133" s="316">
        <v>5</v>
      </c>
      <c r="G133" s="317"/>
      <c r="I133" s="292"/>
      <c r="J133" s="292"/>
      <c r="K133" s="292"/>
      <c r="L133" s="292"/>
      <c r="M133" s="292"/>
      <c r="N133" s="292"/>
      <c r="O133" s="292"/>
      <c r="P133" s="292"/>
      <c r="Q133" s="292"/>
      <c r="R133" s="292"/>
      <c r="S133" s="292"/>
      <c r="T133" s="292"/>
      <c r="U133" s="292"/>
      <c r="V133" s="292"/>
      <c r="W133" s="292"/>
      <c r="X133" s="292"/>
      <c r="Y133" s="292"/>
      <c r="Z133" s="292"/>
      <c r="AA133" s="292"/>
      <c r="AB133" s="292"/>
      <c r="AC133" s="292"/>
      <c r="AD133" s="292"/>
      <c r="AE133" s="54"/>
      <c r="AF133" s="54"/>
      <c r="AG133" s="54"/>
      <c r="AH133" s="54"/>
      <c r="AI133" s="54"/>
    </row>
    <row r="134" spans="1:35" ht="9.9" customHeight="1" x14ac:dyDescent="0.3">
      <c r="I134" s="54"/>
      <c r="J134" s="54"/>
      <c r="K134" s="54"/>
      <c r="L134" s="54"/>
      <c r="M134" s="54"/>
      <c r="N134" s="54"/>
      <c r="O134" s="54"/>
      <c r="P134" s="54"/>
      <c r="Q134" s="54"/>
      <c r="R134" s="54"/>
      <c r="S134" s="54"/>
      <c r="T134" s="54"/>
      <c r="U134" s="54"/>
      <c r="V134" s="54"/>
      <c r="W134" s="54"/>
      <c r="X134" s="54"/>
      <c r="Y134" s="54"/>
      <c r="Z134" s="54"/>
      <c r="AA134" s="54"/>
      <c r="AB134" s="54"/>
      <c r="AC134" s="54"/>
      <c r="AD134" s="54"/>
      <c r="AE134" s="54"/>
      <c r="AF134" s="54"/>
      <c r="AG134" s="54"/>
      <c r="AH134" s="54"/>
      <c r="AI134" s="54"/>
    </row>
    <row r="135" spans="1:35" x14ac:dyDescent="0.3">
      <c r="E135" s="14" t="s">
        <v>430</v>
      </c>
      <c r="F135" s="307">
        <f>ROUNDUP(F131+F133,0)</f>
        <v>25</v>
      </c>
      <c r="G135" s="308"/>
      <c r="I135" s="293" t="s">
        <v>249</v>
      </c>
      <c r="J135" s="293"/>
      <c r="K135" s="293"/>
      <c r="L135" s="293"/>
      <c r="M135" s="292"/>
      <c r="N135" s="292"/>
      <c r="O135" s="292"/>
      <c r="P135" s="292"/>
      <c r="Q135" s="292"/>
      <c r="R135" s="292"/>
      <c r="S135" s="292"/>
      <c r="T135" s="292"/>
      <c r="U135" s="292"/>
      <c r="V135" s="292"/>
      <c r="W135" s="292"/>
      <c r="X135" s="292"/>
      <c r="Y135" s="292"/>
      <c r="Z135" s="292"/>
      <c r="AA135" s="292"/>
      <c r="AB135" s="292"/>
      <c r="AC135" s="292"/>
      <c r="AD135" s="292"/>
      <c r="AE135" s="199"/>
      <c r="AF135" s="199"/>
      <c r="AG135" s="199"/>
      <c r="AH135" s="199"/>
      <c r="AI135" s="199"/>
    </row>
    <row r="136" spans="1:35" ht="15" customHeight="1" x14ac:dyDescent="0.3">
      <c r="A136" s="216"/>
      <c r="B136" s="216"/>
      <c r="C136" s="216"/>
      <c r="D136" s="216"/>
      <c r="E136" s="216"/>
      <c r="F136" s="216"/>
      <c r="G136" s="216"/>
      <c r="H136" s="216"/>
      <c r="I136" s="216"/>
      <c r="J136" s="27"/>
      <c r="K136" s="27"/>
      <c r="L136" s="27"/>
      <c r="M136" s="27"/>
      <c r="N136" s="27"/>
      <c r="O136" s="27"/>
      <c r="P136" s="27"/>
      <c r="Q136" s="27"/>
      <c r="R136" s="27"/>
      <c r="S136" s="27"/>
      <c r="T136" s="27"/>
      <c r="U136" s="27"/>
      <c r="V136" s="27"/>
      <c r="W136" s="27"/>
      <c r="X136" s="27"/>
      <c r="Y136" s="27"/>
      <c r="Z136" s="27"/>
      <c r="AA136" s="27"/>
      <c r="AB136" s="27"/>
      <c r="AC136" s="27"/>
      <c r="AD136" s="1"/>
      <c r="AE136" s="27"/>
      <c r="AF136" s="27"/>
      <c r="AG136" s="27"/>
      <c r="AH136" s="27"/>
      <c r="AI136" s="27"/>
    </row>
    <row r="137" spans="1:35" ht="15" customHeight="1" x14ac:dyDescent="0.3">
      <c r="A137" s="218" t="s">
        <v>630</v>
      </c>
      <c r="B137" s="216"/>
      <c r="C137" s="216"/>
      <c r="D137" s="216"/>
      <c r="E137" s="216"/>
      <c r="F137" s="216"/>
      <c r="G137" s="216"/>
      <c r="H137" s="216"/>
      <c r="I137" s="216"/>
      <c r="J137" s="27"/>
      <c r="K137" s="27"/>
      <c r="L137" s="27"/>
      <c r="M137" s="27"/>
      <c r="N137" s="27"/>
      <c r="O137" s="27"/>
      <c r="P137" s="27"/>
      <c r="Q137" s="27"/>
      <c r="R137" s="27"/>
      <c r="S137" s="27"/>
      <c r="T137" s="27"/>
      <c r="U137" s="27"/>
      <c r="V137" s="27"/>
      <c r="W137" s="27"/>
      <c r="X137" s="27"/>
      <c r="Y137" s="27"/>
      <c r="Z137" s="27"/>
      <c r="AA137" s="27"/>
      <c r="AB137" s="27"/>
      <c r="AC137" s="27"/>
      <c r="AD137" s="1"/>
      <c r="AE137" s="27"/>
      <c r="AF137" s="27"/>
      <c r="AG137" s="27"/>
      <c r="AH137" s="27"/>
      <c r="AI137" s="27"/>
    </row>
    <row r="138" spans="1:35" ht="6.6" customHeight="1" x14ac:dyDescent="0.3">
      <c r="A138" s="218"/>
      <c r="B138" s="216"/>
      <c r="C138" s="216"/>
      <c r="D138" s="216"/>
      <c r="E138" s="216"/>
      <c r="F138" s="216"/>
      <c r="G138" s="216"/>
      <c r="H138" s="216"/>
      <c r="I138" s="216"/>
      <c r="J138" s="27"/>
      <c r="K138" s="27"/>
      <c r="L138" s="27"/>
      <c r="M138" s="27"/>
      <c r="N138" s="27"/>
      <c r="O138" s="27"/>
      <c r="P138" s="27"/>
      <c r="Q138" s="27"/>
      <c r="R138" s="27"/>
      <c r="S138" s="27"/>
      <c r="T138" s="27"/>
      <c r="U138" s="27"/>
      <c r="V138" s="27"/>
      <c r="W138" s="27"/>
      <c r="X138" s="27"/>
      <c r="Y138" s="27"/>
      <c r="Z138" s="27"/>
      <c r="AA138" s="27"/>
      <c r="AB138" s="27"/>
      <c r="AC138" s="27"/>
      <c r="AD138" s="1"/>
      <c r="AE138" s="27"/>
      <c r="AF138" s="27"/>
      <c r="AG138" s="27"/>
      <c r="AH138" s="27"/>
      <c r="AI138" s="27"/>
    </row>
    <row r="139" spans="1:35" x14ac:dyDescent="0.3">
      <c r="A139" s="258" t="s">
        <v>212</v>
      </c>
      <c r="I139" s="10" t="s">
        <v>24</v>
      </c>
      <c r="J139" s="10"/>
      <c r="K139" s="10"/>
    </row>
    <row r="140" spans="1:35" x14ac:dyDescent="0.3">
      <c r="E140" s="14" t="s">
        <v>241</v>
      </c>
      <c r="F140" s="307">
        <f>MAX(0,ROUNDUP(F115-F131,-0.1))</f>
        <v>14</v>
      </c>
      <c r="G140" s="308"/>
      <c r="I140" s="318" t="s">
        <v>525</v>
      </c>
      <c r="J140" s="318"/>
      <c r="K140" s="318"/>
      <c r="L140" s="318"/>
      <c r="M140" s="318"/>
      <c r="N140" s="319"/>
      <c r="O140" s="319"/>
      <c r="P140" s="319"/>
      <c r="Q140" s="319"/>
      <c r="R140" s="319"/>
      <c r="S140" s="319"/>
      <c r="T140" s="319"/>
      <c r="U140" s="319"/>
      <c r="V140" s="319"/>
      <c r="W140" s="319"/>
      <c r="X140" s="319"/>
      <c r="Y140" s="319"/>
      <c r="Z140" s="319"/>
      <c r="AA140" s="319"/>
      <c r="AB140" s="319"/>
      <c r="AC140" s="319"/>
      <c r="AD140" s="319"/>
      <c r="AE140" s="199"/>
      <c r="AF140" s="199"/>
      <c r="AG140" s="199"/>
      <c r="AH140" s="199"/>
      <c r="AI140" s="199"/>
    </row>
    <row r="141" spans="1:35" ht="7.35" customHeight="1" x14ac:dyDescent="0.3">
      <c r="E141" s="10"/>
      <c r="F141" s="10"/>
      <c r="G141" s="10"/>
    </row>
    <row r="142" spans="1:35" x14ac:dyDescent="0.3">
      <c r="A142" s="258" t="s">
        <v>83</v>
      </c>
      <c r="I142" s="10" t="s">
        <v>24</v>
      </c>
      <c r="J142" s="10"/>
      <c r="K142" s="10"/>
    </row>
    <row r="143" spans="1:35" x14ac:dyDescent="0.3">
      <c r="A143" s="10"/>
      <c r="E143" s="13" t="s">
        <v>242</v>
      </c>
      <c r="F143" s="295">
        <v>5</v>
      </c>
      <c r="G143" s="297"/>
      <c r="I143" s="292"/>
      <c r="J143" s="292"/>
      <c r="K143" s="292"/>
      <c r="L143" s="292"/>
      <c r="M143" s="292"/>
      <c r="N143" s="292"/>
      <c r="O143" s="292"/>
      <c r="P143" s="292"/>
      <c r="Q143" s="292"/>
      <c r="R143" s="292"/>
      <c r="S143" s="292"/>
      <c r="T143" s="292"/>
      <c r="U143" s="292"/>
      <c r="V143" s="292"/>
      <c r="W143" s="292"/>
      <c r="X143" s="292"/>
      <c r="Y143" s="292"/>
      <c r="Z143" s="292"/>
      <c r="AA143" s="292"/>
      <c r="AB143" s="292"/>
      <c r="AC143" s="292"/>
      <c r="AD143" s="292"/>
    </row>
    <row r="144" spans="1:35" ht="6.6" customHeight="1" x14ac:dyDescent="0.3">
      <c r="A144" s="10"/>
      <c r="E144" s="13"/>
      <c r="F144" s="2"/>
      <c r="G144" s="2"/>
      <c r="I144" s="99"/>
      <c r="J144" s="99"/>
      <c r="K144" s="99"/>
      <c r="L144" s="99"/>
      <c r="M144" s="99"/>
      <c r="N144" s="99"/>
      <c r="O144" s="99"/>
      <c r="P144" s="99"/>
      <c r="Q144" s="99"/>
      <c r="R144" s="99"/>
      <c r="S144" s="99"/>
      <c r="T144" s="99"/>
      <c r="U144" s="99"/>
      <c r="V144" s="99"/>
      <c r="W144" s="99"/>
      <c r="X144" s="99"/>
      <c r="Y144" s="99"/>
      <c r="Z144" s="99"/>
      <c r="AA144" s="99"/>
      <c r="AB144" s="99"/>
      <c r="AC144" s="99"/>
      <c r="AD144" s="99"/>
    </row>
    <row r="145" spans="1:35" x14ac:dyDescent="0.3">
      <c r="E145" s="14" t="s">
        <v>243</v>
      </c>
      <c r="F145" s="307">
        <f>ROUNDUP(F135+F140+F143,-0.1)</f>
        <v>44</v>
      </c>
      <c r="G145" s="308"/>
      <c r="I145" s="293" t="s">
        <v>250</v>
      </c>
      <c r="J145" s="293"/>
      <c r="K145" s="293"/>
      <c r="L145" s="293"/>
      <c r="M145" s="292"/>
      <c r="N145" s="292"/>
      <c r="O145" s="292"/>
      <c r="P145" s="292"/>
      <c r="Q145" s="292"/>
      <c r="R145" s="292"/>
      <c r="S145" s="292"/>
      <c r="T145" s="292"/>
      <c r="U145" s="292"/>
      <c r="V145" s="292"/>
      <c r="W145" s="292"/>
      <c r="X145" s="292"/>
      <c r="Y145" s="292"/>
      <c r="Z145" s="292"/>
      <c r="AA145" s="292"/>
      <c r="AB145" s="292"/>
      <c r="AC145" s="292"/>
      <c r="AD145" s="292"/>
      <c r="AE145" s="199"/>
      <c r="AF145" s="199"/>
      <c r="AG145" s="199"/>
      <c r="AH145" s="199"/>
      <c r="AI145" s="199"/>
    </row>
    <row r="146" spans="1:35" ht="198.6" customHeight="1" x14ac:dyDescent="0.3">
      <c r="E146" s="14"/>
      <c r="F146" s="185"/>
      <c r="G146" s="185"/>
      <c r="I146" s="99"/>
      <c r="J146" s="99"/>
      <c r="K146" s="99"/>
      <c r="L146" s="99"/>
      <c r="M146" s="99"/>
      <c r="N146" s="99"/>
      <c r="O146" s="99"/>
      <c r="P146" s="99" t="s">
        <v>257</v>
      </c>
      <c r="Q146" s="99"/>
      <c r="R146" s="99"/>
      <c r="S146" s="99"/>
      <c r="T146" s="99"/>
      <c r="U146" s="99"/>
      <c r="V146" s="99"/>
      <c r="W146" s="99"/>
      <c r="X146" s="99"/>
      <c r="Y146" s="99"/>
      <c r="Z146" s="99"/>
      <c r="AA146" s="99"/>
      <c r="AB146" s="99"/>
      <c r="AC146" s="99"/>
      <c r="AD146" s="99"/>
      <c r="AE146" s="99"/>
      <c r="AF146" s="99"/>
      <c r="AG146" s="99"/>
      <c r="AH146" s="99"/>
      <c r="AI146" s="99"/>
    </row>
    <row r="147" spans="1:35" ht="30" customHeight="1" x14ac:dyDescent="0.3">
      <c r="A147" s="305" t="s">
        <v>180</v>
      </c>
      <c r="B147" s="305"/>
      <c r="C147" s="305"/>
      <c r="D147" s="305"/>
      <c r="E147" s="305"/>
      <c r="F147" s="305"/>
      <c r="G147" s="305"/>
      <c r="H147" s="305"/>
      <c r="I147" s="305"/>
      <c r="J147" s="195"/>
      <c r="K147" s="195"/>
      <c r="L147" s="195"/>
      <c r="M147" s="195"/>
      <c r="N147" s="195"/>
      <c r="O147" s="195"/>
      <c r="P147" s="195"/>
      <c r="Q147" s="195"/>
      <c r="R147" s="195"/>
      <c r="S147" s="195"/>
      <c r="T147" s="195"/>
      <c r="U147" s="195"/>
      <c r="V147" s="195"/>
      <c r="W147" s="195"/>
      <c r="X147" s="195"/>
      <c r="Y147" s="195"/>
      <c r="Z147" s="195"/>
      <c r="AA147" s="195"/>
      <c r="AB147" s="195"/>
      <c r="AC147" s="195"/>
      <c r="AD147" s="1" t="s">
        <v>220</v>
      </c>
      <c r="AE147" s="195"/>
      <c r="AF147" s="195"/>
    </row>
    <row r="148" spans="1:35" ht="39" customHeight="1" x14ac:dyDescent="0.3">
      <c r="E148" s="14"/>
      <c r="F148" s="14"/>
      <c r="G148" s="28"/>
      <c r="I148" s="27"/>
      <c r="J148" s="27"/>
      <c r="K148" s="27"/>
      <c r="L148" s="27"/>
      <c r="M148" s="27"/>
      <c r="N148" s="27"/>
      <c r="O148" s="27"/>
      <c r="P148" s="27"/>
      <c r="Q148" s="27"/>
      <c r="R148" s="27"/>
      <c r="S148" s="27"/>
      <c r="T148" s="27"/>
      <c r="U148" s="27"/>
      <c r="V148" s="27"/>
      <c r="W148" s="27"/>
      <c r="X148" s="27"/>
      <c r="Y148" s="27"/>
      <c r="Z148" s="27"/>
      <c r="AA148" s="27"/>
      <c r="AB148" s="27"/>
      <c r="AC148" s="27"/>
      <c r="AD148" s="183" t="s">
        <v>615</v>
      </c>
    </row>
    <row r="149" spans="1:35" x14ac:dyDescent="0.3">
      <c r="E149" s="14"/>
      <c r="F149" s="14"/>
      <c r="G149" s="28"/>
      <c r="I149" s="27"/>
      <c r="J149" s="27"/>
      <c r="K149" s="27"/>
      <c r="L149" s="27"/>
      <c r="M149" s="27"/>
      <c r="N149" s="27"/>
      <c r="O149" s="27"/>
      <c r="P149" s="27"/>
      <c r="Q149" s="27"/>
      <c r="R149" s="27"/>
      <c r="S149" s="27"/>
      <c r="T149" s="27"/>
      <c r="U149" s="27"/>
      <c r="V149" s="27"/>
      <c r="W149" s="27"/>
      <c r="X149" s="27"/>
      <c r="Y149" s="27"/>
      <c r="Z149" s="27"/>
      <c r="AA149" s="27"/>
      <c r="AB149" s="27"/>
      <c r="AC149" s="27"/>
      <c r="AD149" s="27"/>
    </row>
    <row r="150" spans="1:35" x14ac:dyDescent="0.3">
      <c r="E150" s="14"/>
      <c r="F150" s="14"/>
      <c r="G150" s="28"/>
      <c r="I150" s="27"/>
      <c r="J150" s="27"/>
      <c r="K150" s="27"/>
      <c r="L150" s="27"/>
      <c r="M150" s="27"/>
      <c r="N150" s="27"/>
      <c r="O150" s="27"/>
      <c r="P150" s="27"/>
      <c r="Q150" s="27"/>
      <c r="R150" s="27"/>
      <c r="S150" s="27"/>
      <c r="T150" s="27"/>
      <c r="U150" s="27"/>
      <c r="V150" s="27"/>
      <c r="W150" s="27"/>
      <c r="X150" s="27"/>
      <c r="Y150" s="27"/>
      <c r="Z150" s="27"/>
      <c r="AA150" s="27"/>
      <c r="AB150" s="27"/>
      <c r="AC150" s="27"/>
      <c r="AD150" s="27"/>
    </row>
    <row r="151" spans="1:35" x14ac:dyDescent="0.3">
      <c r="E151" s="14"/>
      <c r="F151" s="14"/>
      <c r="G151" s="28"/>
      <c r="I151" s="27"/>
      <c r="J151" s="27"/>
      <c r="K151" s="27"/>
      <c r="L151" s="27"/>
      <c r="M151" s="27"/>
      <c r="N151" s="27"/>
      <c r="O151" s="27"/>
      <c r="P151" s="27"/>
      <c r="Q151" s="27"/>
      <c r="R151" s="27"/>
      <c r="S151" s="27"/>
      <c r="T151" s="27"/>
      <c r="U151" s="27"/>
      <c r="V151" s="27"/>
      <c r="W151" s="27"/>
      <c r="X151" s="27"/>
      <c r="Y151" s="27"/>
      <c r="Z151" s="27"/>
      <c r="AA151" s="27"/>
      <c r="AB151" s="27"/>
      <c r="AC151" s="27"/>
      <c r="AD151" s="27"/>
    </row>
    <row r="152" spans="1:35" x14ac:dyDescent="0.3">
      <c r="E152" s="14"/>
      <c r="F152" s="14"/>
      <c r="G152" s="28"/>
      <c r="I152" s="27"/>
      <c r="J152" s="27"/>
      <c r="K152" s="27"/>
      <c r="L152" s="27"/>
      <c r="M152" s="27"/>
      <c r="N152" s="27"/>
      <c r="O152" s="27"/>
      <c r="P152" s="27"/>
      <c r="Q152" s="27"/>
      <c r="R152" s="27"/>
      <c r="S152" s="27"/>
      <c r="T152" s="27"/>
      <c r="U152" s="27"/>
      <c r="V152" s="27"/>
      <c r="W152" s="27"/>
      <c r="X152" s="27"/>
      <c r="Y152" s="27"/>
      <c r="Z152" s="27"/>
      <c r="AA152" s="27"/>
      <c r="AB152" s="27"/>
      <c r="AC152" s="27"/>
      <c r="AD152" s="27"/>
    </row>
    <row r="153" spans="1:35" x14ac:dyDescent="0.3">
      <c r="E153" s="14"/>
      <c r="F153" s="14"/>
      <c r="G153" s="28"/>
      <c r="I153" s="27"/>
      <c r="J153" s="27"/>
      <c r="K153" s="27"/>
      <c r="L153" s="27"/>
      <c r="M153" s="27"/>
      <c r="N153" s="27"/>
      <c r="O153" s="27"/>
      <c r="P153" s="27"/>
      <c r="Q153" s="27"/>
      <c r="R153" s="27"/>
      <c r="S153" s="27"/>
      <c r="T153" s="27"/>
      <c r="U153" s="27"/>
      <c r="V153" s="27"/>
      <c r="W153" s="27"/>
      <c r="X153" s="27"/>
      <c r="Y153" s="27"/>
      <c r="Z153" s="27"/>
      <c r="AA153" s="27"/>
      <c r="AB153" s="27"/>
      <c r="AC153" s="27"/>
      <c r="AD153" s="27"/>
    </row>
    <row r="154" spans="1:35" x14ac:dyDescent="0.3">
      <c r="E154" s="14"/>
      <c r="F154" s="14"/>
      <c r="G154" s="28"/>
      <c r="I154" s="27"/>
      <c r="J154" s="27"/>
      <c r="K154" s="27"/>
      <c r="L154" s="27"/>
      <c r="M154" s="27"/>
      <c r="N154" s="27"/>
      <c r="O154" s="27"/>
      <c r="P154" s="27"/>
      <c r="Q154" s="27"/>
      <c r="R154" s="27"/>
      <c r="S154" s="27"/>
      <c r="T154" s="27"/>
      <c r="U154" s="27"/>
      <c r="V154" s="27"/>
      <c r="W154" s="27"/>
      <c r="X154" s="27"/>
      <c r="Y154" s="27"/>
      <c r="Z154" s="27"/>
      <c r="AA154" s="27"/>
      <c r="AB154" s="27"/>
      <c r="AC154" s="27"/>
      <c r="AD154" s="27"/>
    </row>
    <row r="155" spans="1:35" x14ac:dyDescent="0.3">
      <c r="E155" s="14"/>
      <c r="F155" s="14"/>
      <c r="G155" s="28"/>
      <c r="I155" s="27"/>
      <c r="J155" s="27"/>
      <c r="K155" s="27"/>
      <c r="L155" s="27"/>
      <c r="M155" s="27"/>
      <c r="N155" s="27"/>
      <c r="O155" s="27"/>
      <c r="P155" s="27"/>
      <c r="Q155" s="27"/>
      <c r="R155" s="27"/>
      <c r="S155" s="27"/>
      <c r="T155" s="27"/>
      <c r="U155" s="27"/>
      <c r="V155" s="27"/>
      <c r="W155" s="27"/>
      <c r="X155" s="27"/>
      <c r="Y155" s="27"/>
      <c r="Z155" s="27"/>
      <c r="AA155" s="27"/>
      <c r="AB155" s="27"/>
      <c r="AC155" s="27"/>
      <c r="AD155" s="27"/>
    </row>
    <row r="156" spans="1:35" x14ac:dyDescent="0.3">
      <c r="E156" s="14"/>
      <c r="F156" s="14"/>
      <c r="G156" s="28"/>
      <c r="I156" s="27"/>
      <c r="J156" s="27"/>
      <c r="K156" s="27"/>
      <c r="L156" s="27"/>
      <c r="M156" s="27"/>
      <c r="N156" s="27"/>
      <c r="O156" s="27"/>
      <c r="P156" s="27"/>
      <c r="Q156" s="27"/>
      <c r="R156" s="27"/>
      <c r="S156" s="27"/>
      <c r="T156" s="27"/>
      <c r="U156" s="27"/>
      <c r="V156" s="27"/>
      <c r="W156" s="27"/>
      <c r="X156" s="27"/>
      <c r="Y156" s="27"/>
      <c r="Z156" s="27"/>
      <c r="AA156" s="27"/>
      <c r="AB156" s="27"/>
      <c r="AC156" s="27"/>
      <c r="AD156" s="27"/>
    </row>
    <row r="157" spans="1:35" x14ac:dyDescent="0.3">
      <c r="E157" s="14"/>
      <c r="F157" s="14"/>
      <c r="G157" s="28"/>
      <c r="I157" s="27"/>
      <c r="J157" s="27"/>
      <c r="K157" s="27"/>
      <c r="L157" s="27"/>
      <c r="M157" s="27"/>
      <c r="N157" s="27"/>
      <c r="O157" s="27"/>
      <c r="P157" s="27"/>
      <c r="Q157" s="27"/>
      <c r="R157" s="27"/>
      <c r="S157" s="27"/>
      <c r="T157" s="27"/>
      <c r="U157" s="27"/>
      <c r="V157" s="27"/>
      <c r="W157" s="27"/>
      <c r="X157" s="27"/>
      <c r="Y157" s="27"/>
      <c r="Z157" s="27"/>
      <c r="AA157" s="27"/>
      <c r="AB157" s="27"/>
      <c r="AC157" s="27"/>
      <c r="AD157" s="27"/>
    </row>
    <row r="158" spans="1:35" x14ac:dyDescent="0.3">
      <c r="E158" s="14"/>
      <c r="F158" s="14"/>
      <c r="G158" s="28"/>
      <c r="I158" s="27"/>
      <c r="J158" s="27"/>
      <c r="K158" s="27"/>
      <c r="L158" s="27"/>
      <c r="M158" s="27"/>
      <c r="N158" s="27"/>
      <c r="O158" s="27"/>
      <c r="P158" s="27"/>
      <c r="Q158" s="27"/>
      <c r="R158" s="27"/>
      <c r="S158" s="27"/>
      <c r="T158" s="27"/>
      <c r="U158" s="27"/>
      <c r="V158" s="27"/>
      <c r="W158" s="27"/>
      <c r="X158" s="27"/>
      <c r="Y158" s="27"/>
      <c r="Z158" s="27"/>
      <c r="AA158" s="27"/>
      <c r="AB158" s="27"/>
      <c r="AC158" s="27"/>
      <c r="AD158" s="27"/>
    </row>
    <row r="159" spans="1:35" x14ac:dyDescent="0.3">
      <c r="E159" s="14"/>
      <c r="F159" s="14"/>
      <c r="G159" s="28"/>
      <c r="I159" s="27"/>
      <c r="J159" s="27"/>
      <c r="K159" s="27"/>
      <c r="L159" s="27"/>
      <c r="M159" s="27"/>
      <c r="N159" s="27"/>
      <c r="O159" s="27"/>
      <c r="P159" s="27"/>
      <c r="Q159" s="27"/>
      <c r="R159" s="27"/>
      <c r="S159" s="27"/>
      <c r="T159" s="27"/>
      <c r="U159" s="27"/>
      <c r="V159" s="27"/>
      <c r="W159" s="27"/>
      <c r="X159" s="27"/>
      <c r="Y159" s="27"/>
      <c r="Z159" s="27"/>
      <c r="AA159" s="27"/>
      <c r="AB159" s="27"/>
      <c r="AC159" s="27"/>
      <c r="AD159" s="27"/>
    </row>
    <row r="161" spans="1:9" x14ac:dyDescent="0.3">
      <c r="D161" t="s">
        <v>14</v>
      </c>
      <c r="E161" t="s">
        <v>47</v>
      </c>
      <c r="G161" t="s">
        <v>425</v>
      </c>
    </row>
    <row r="162" spans="1:9" x14ac:dyDescent="0.3">
      <c r="A162" s="158" t="s">
        <v>37</v>
      </c>
      <c r="D162" s="34"/>
      <c r="E162" s="34"/>
      <c r="F162" s="34"/>
      <c r="G162" s="35">
        <f>F140</f>
        <v>14</v>
      </c>
      <c r="I162" s="204"/>
    </row>
    <row r="163" spans="1:9" x14ac:dyDescent="0.3">
      <c r="A163" s="158" t="s">
        <v>41</v>
      </c>
      <c r="D163" s="212"/>
      <c r="E163" s="212"/>
      <c r="F163" s="212"/>
      <c r="G163" s="213">
        <f>$F$123</f>
        <v>0</v>
      </c>
    </row>
    <row r="164" spans="1:9" x14ac:dyDescent="0.3">
      <c r="A164" s="158" t="s">
        <v>40</v>
      </c>
      <c r="D164" s="30"/>
      <c r="E164" s="30"/>
      <c r="F164" s="30"/>
      <c r="G164" s="31">
        <f>$F$125</f>
        <v>12</v>
      </c>
    </row>
    <row r="165" spans="1:9" x14ac:dyDescent="0.3">
      <c r="A165" s="158" t="s">
        <v>39</v>
      </c>
      <c r="D165" s="37"/>
      <c r="E165" s="37"/>
      <c r="F165" s="37"/>
      <c r="G165" s="36">
        <f>$F$127+$F$129-$F$123-$F$125</f>
        <v>8</v>
      </c>
    </row>
    <row r="166" spans="1:9" x14ac:dyDescent="0.3">
      <c r="A166" s="158" t="s">
        <v>572</v>
      </c>
      <c r="D166" s="210"/>
      <c r="E166" s="211">
        <f>ROUND(F74,0)</f>
        <v>0</v>
      </c>
      <c r="F166" s="211"/>
      <c r="G166" s="210"/>
      <c r="I166" s="204"/>
    </row>
    <row r="167" spans="1:9" x14ac:dyDescent="0.3">
      <c r="A167" s="158" t="s">
        <v>46</v>
      </c>
      <c r="D167" s="19"/>
      <c r="E167" s="19">
        <f>ROUND(IF(F101&gt;F88,F93,0),0)</f>
        <v>0</v>
      </c>
      <c r="F167" s="19"/>
      <c r="G167" s="23"/>
    </row>
    <row r="168" spans="1:9" x14ac:dyDescent="0.3">
      <c r="A168" s="158" t="s">
        <v>45</v>
      </c>
      <c r="D168" s="207"/>
      <c r="E168" s="207">
        <f>ROUND(IF(F101&gt;=F88,F95,0),0)</f>
        <v>0</v>
      </c>
      <c r="F168" s="207"/>
      <c r="G168" s="208"/>
    </row>
    <row r="169" spans="1:9" x14ac:dyDescent="0.3">
      <c r="A169" s="158" t="s">
        <v>453</v>
      </c>
      <c r="D169" s="20"/>
      <c r="E169" s="18">
        <f>IF(SUM(G162:G165)-SUM(E166,E167,E168,E170,E171,E172,E173,E175,E174)&gt;0,SUM(G162:G165)-SUM(E166,E167,E168,E170,E171,E172,E173,E175,E174),0)</f>
        <v>16</v>
      </c>
      <c r="F169" s="18"/>
      <c r="G169" s="20"/>
      <c r="I169" s="204"/>
    </row>
    <row r="170" spans="1:9" x14ac:dyDescent="0.3">
      <c r="A170" s="158" t="s">
        <v>48</v>
      </c>
      <c r="D170" s="21"/>
      <c r="E170" s="21">
        <f>ROUND(IF(F88&gt;F101,F82,0),0)</f>
        <v>0</v>
      </c>
      <c r="F170" s="21"/>
      <c r="G170" s="22"/>
    </row>
    <row r="171" spans="1:9" x14ac:dyDescent="0.3">
      <c r="A171" s="158" t="s">
        <v>49</v>
      </c>
      <c r="D171" s="214"/>
      <c r="E171" s="33">
        <f>ROUND(IF(F88&gt;F101,F84,F97),0)</f>
        <v>0</v>
      </c>
      <c r="F171" s="33"/>
      <c r="G171" s="32"/>
    </row>
    <row r="172" spans="1:9" x14ac:dyDescent="0.3">
      <c r="A172" s="158" t="s">
        <v>179</v>
      </c>
      <c r="D172" s="215"/>
      <c r="E172" s="29">
        <f>ROUND(IF(F88&gt;F101,F86,F99),0)</f>
        <v>0</v>
      </c>
      <c r="F172" s="29"/>
      <c r="G172" s="20"/>
    </row>
    <row r="173" spans="1:9" x14ac:dyDescent="0.3">
      <c r="A173" s="158" t="s">
        <v>44</v>
      </c>
      <c r="D173" s="38"/>
      <c r="E173" s="39">
        <f>ROUND(F111,0)</f>
        <v>14</v>
      </c>
      <c r="F173" s="39"/>
      <c r="G173" s="38"/>
    </row>
    <row r="174" spans="1:9" x14ac:dyDescent="0.3">
      <c r="A174" s="158" t="s">
        <v>626</v>
      </c>
      <c r="D174" s="20"/>
      <c r="E174" s="29">
        <f>IF('(OPTION) Remove TCG'!E18="yes",'(OPTION) Remove TCG'!E20,0)</f>
        <v>0</v>
      </c>
      <c r="F174" s="29"/>
      <c r="G174" s="20"/>
    </row>
    <row r="175" spans="1:9" x14ac:dyDescent="0.3">
      <c r="A175" s="158" t="s">
        <v>42</v>
      </c>
      <c r="D175" s="156"/>
      <c r="E175" s="156">
        <f>F113</f>
        <v>4</v>
      </c>
      <c r="F175" s="156"/>
      <c r="G175" s="268"/>
    </row>
    <row r="176" spans="1:9" x14ac:dyDescent="0.3">
      <c r="A176" s="158" t="s">
        <v>213</v>
      </c>
      <c r="D176" s="267">
        <f>E166+E167+E168+E170+E171+E172+E169</f>
        <v>16</v>
      </c>
      <c r="E176" s="267"/>
      <c r="F176" s="267"/>
      <c r="G176" s="209"/>
    </row>
    <row r="177" spans="1:31" x14ac:dyDescent="0.3">
      <c r="A177" s="158" t="s">
        <v>43</v>
      </c>
      <c r="D177" s="269">
        <f>F111</f>
        <v>14</v>
      </c>
      <c r="E177" s="270"/>
      <c r="F177" s="271"/>
      <c r="G177" s="272"/>
      <c r="J177" s="11"/>
      <c r="AE177" s="11"/>
    </row>
    <row r="178" spans="1:31" x14ac:dyDescent="0.3">
      <c r="A178" s="158" t="s">
        <v>626</v>
      </c>
      <c r="D178" s="269">
        <f>E174</f>
        <v>0</v>
      </c>
      <c r="E178" s="270"/>
      <c r="F178" s="271"/>
      <c r="G178" s="272"/>
      <c r="J178" s="11"/>
      <c r="AE178" s="11"/>
    </row>
    <row r="179" spans="1:31" x14ac:dyDescent="0.3">
      <c r="A179" s="158" t="s">
        <v>42</v>
      </c>
      <c r="D179" s="156">
        <f>F113</f>
        <v>4</v>
      </c>
      <c r="E179" s="156"/>
      <c r="F179" s="157"/>
      <c r="G179" s="209"/>
      <c r="J179" s="11"/>
      <c r="AE179" s="11"/>
    </row>
    <row r="180" spans="1:31" x14ac:dyDescent="0.3">
      <c r="E180" s="16"/>
    </row>
    <row r="181" spans="1:31" x14ac:dyDescent="0.3">
      <c r="A181" s="17"/>
      <c r="D181" s="17"/>
      <c r="E181" s="18"/>
      <c r="F181" s="18"/>
      <c r="G181" s="18"/>
      <c r="H181" s="17"/>
    </row>
    <row r="182" spans="1:31" x14ac:dyDescent="0.3">
      <c r="A182" s="17"/>
      <c r="D182" s="17"/>
      <c r="E182" s="18"/>
      <c r="F182" s="18"/>
      <c r="G182" s="17"/>
      <c r="H182" s="18"/>
    </row>
    <row r="183" spans="1:31" ht="17.100000000000001" customHeight="1" x14ac:dyDescent="0.3"/>
    <row r="184" spans="1:31" ht="27.75" customHeight="1" x14ac:dyDescent="0.3">
      <c r="A184" s="305" t="s">
        <v>454</v>
      </c>
      <c r="B184" s="305"/>
      <c r="C184" s="305"/>
      <c r="D184" s="305"/>
      <c r="E184" s="305"/>
      <c r="F184" s="305"/>
      <c r="G184" s="305"/>
      <c r="H184" s="305"/>
      <c r="I184" s="305"/>
      <c r="J184" s="305"/>
      <c r="K184" s="305"/>
      <c r="L184" s="305"/>
      <c r="M184" s="305"/>
      <c r="N184" s="305"/>
      <c r="O184" s="305"/>
      <c r="AD184" s="1" t="s">
        <v>221</v>
      </c>
    </row>
  </sheetData>
  <sheetProtection algorithmName="SHA-512" hashValue="+GKUNeXDMVRGoI1756ZotRJsWfzJ885+NUKHyMQHm31S6SOUwyAo5f8JEBHC2K6St/8j5ZzlY8lOV74ASa524w==" saltValue="ekb1Y17XXLyqfP+2LA5fSQ==" spinCount="100000" sheet="1" objects="1" selectLockedCells="1"/>
  <dataConsolidate/>
  <mergeCells count="143">
    <mergeCell ref="F60:G60"/>
    <mergeCell ref="F59:G59"/>
    <mergeCell ref="L50:Z50"/>
    <mergeCell ref="O7:AD7"/>
    <mergeCell ref="O9:AD9"/>
    <mergeCell ref="O11:AD11"/>
    <mergeCell ref="O13:AD13"/>
    <mergeCell ref="L42:AD42"/>
    <mergeCell ref="L44:AD44"/>
    <mergeCell ref="L48:Q48"/>
    <mergeCell ref="O36:S36"/>
    <mergeCell ref="L46:T46"/>
    <mergeCell ref="U46:AD46"/>
    <mergeCell ref="AA50:AD50"/>
    <mergeCell ref="O15:AD15"/>
    <mergeCell ref="B9:D9"/>
    <mergeCell ref="A54:D54"/>
    <mergeCell ref="A61:C61"/>
    <mergeCell ref="A44:D44"/>
    <mergeCell ref="A46:D46"/>
    <mergeCell ref="A48:D48"/>
    <mergeCell ref="A50:D50"/>
    <mergeCell ref="A52:D52"/>
    <mergeCell ref="B13:D13"/>
    <mergeCell ref="B15:D15"/>
    <mergeCell ref="L61:V61"/>
    <mergeCell ref="W61:AD61"/>
    <mergeCell ref="L62:V62"/>
    <mergeCell ref="W62:AD62"/>
    <mergeCell ref="L65:P65"/>
    <mergeCell ref="Q65:AD65"/>
    <mergeCell ref="Q63:AD63"/>
    <mergeCell ref="A65:C65"/>
    <mergeCell ref="O5:AD5"/>
    <mergeCell ref="L54:AD54"/>
    <mergeCell ref="L52:AD52"/>
    <mergeCell ref="Z64:AD64"/>
    <mergeCell ref="H65:I65"/>
    <mergeCell ref="B5:D5"/>
    <mergeCell ref="B7:D7"/>
    <mergeCell ref="H59:I59"/>
    <mergeCell ref="H61:I61"/>
    <mergeCell ref="H62:I62"/>
    <mergeCell ref="H63:I63"/>
    <mergeCell ref="A62:C62"/>
    <mergeCell ref="A63:C63"/>
    <mergeCell ref="H64:I64"/>
    <mergeCell ref="B11:D11"/>
    <mergeCell ref="H60:I60"/>
    <mergeCell ref="L66:Y66"/>
    <mergeCell ref="I143:AD143"/>
    <mergeCell ref="I145:L145"/>
    <mergeCell ref="M145:AD145"/>
    <mergeCell ref="F143:G143"/>
    <mergeCell ref="F135:G135"/>
    <mergeCell ref="F140:G140"/>
    <mergeCell ref="F145:G145"/>
    <mergeCell ref="F125:G125"/>
    <mergeCell ref="F127:G127"/>
    <mergeCell ref="F129:G129"/>
    <mergeCell ref="F131:G131"/>
    <mergeCell ref="F133:G133"/>
    <mergeCell ref="I131:L131"/>
    <mergeCell ref="I129:AA129"/>
    <mergeCell ref="AB129:AD129"/>
    <mergeCell ref="M131:AD131"/>
    <mergeCell ref="I135:L135"/>
    <mergeCell ref="M135:AD135"/>
    <mergeCell ref="I133:AD133"/>
    <mergeCell ref="I140:M140"/>
    <mergeCell ref="N140:AD140"/>
    <mergeCell ref="H66:I66"/>
    <mergeCell ref="F66:G66"/>
    <mergeCell ref="A66:C66"/>
    <mergeCell ref="A64:C64"/>
    <mergeCell ref="F74:G74"/>
    <mergeCell ref="F101:G101"/>
    <mergeCell ref="F103:G103"/>
    <mergeCell ref="F84:G84"/>
    <mergeCell ref="F86:G86"/>
    <mergeCell ref="F88:G88"/>
    <mergeCell ref="F93:G93"/>
    <mergeCell ref="F70:G70"/>
    <mergeCell ref="F107:G107"/>
    <mergeCell ref="F109:G109"/>
    <mergeCell ref="F113:G113"/>
    <mergeCell ref="I84:AD84"/>
    <mergeCell ref="I86:AD86"/>
    <mergeCell ref="U111:AD111"/>
    <mergeCell ref="F115:G115"/>
    <mergeCell ref="M88:AD88"/>
    <mergeCell ref="F111:G111"/>
    <mergeCell ref="I111:T111"/>
    <mergeCell ref="I115:O115"/>
    <mergeCell ref="P115:AD115"/>
    <mergeCell ref="F123:G123"/>
    <mergeCell ref="F95:G95"/>
    <mergeCell ref="F97:G97"/>
    <mergeCell ref="F99:G99"/>
    <mergeCell ref="A184:O184"/>
    <mergeCell ref="A37:H37"/>
    <mergeCell ref="A76:I76"/>
    <mergeCell ref="A147:I147"/>
    <mergeCell ref="M74:AD74"/>
    <mergeCell ref="I103:M103"/>
    <mergeCell ref="N103:AD103"/>
    <mergeCell ref="J109:AD109"/>
    <mergeCell ref="I123:AD123"/>
    <mergeCell ref="I125:AD125"/>
    <mergeCell ref="I127:AD127"/>
    <mergeCell ref="I113:AD113"/>
    <mergeCell ref="I88:L88"/>
    <mergeCell ref="I74:L74"/>
    <mergeCell ref="I107:L107"/>
    <mergeCell ref="M107:AD107"/>
    <mergeCell ref="R48:AD48"/>
    <mergeCell ref="M101:AD101"/>
    <mergeCell ref="I72:K72"/>
    <mergeCell ref="A118:I118"/>
    <mergeCell ref="Z66:AD66"/>
    <mergeCell ref="I93:AD93"/>
    <mergeCell ref="I101:L101"/>
    <mergeCell ref="L72:AD72"/>
    <mergeCell ref="I70:AD70"/>
    <mergeCell ref="L60:AD60"/>
    <mergeCell ref="L63:P63"/>
    <mergeCell ref="F80:I80"/>
    <mergeCell ref="K80:AD80"/>
    <mergeCell ref="F91:I91"/>
    <mergeCell ref="K91:AD91"/>
    <mergeCell ref="F82:G82"/>
    <mergeCell ref="F61:G61"/>
    <mergeCell ref="F62:G62"/>
    <mergeCell ref="F63:G63"/>
    <mergeCell ref="F64:G64"/>
    <mergeCell ref="F65:G65"/>
    <mergeCell ref="I82:AD82"/>
    <mergeCell ref="I95:U95"/>
    <mergeCell ref="V95:AD95"/>
    <mergeCell ref="I97:AD97"/>
    <mergeCell ref="I99:AD99"/>
    <mergeCell ref="F72:G72"/>
    <mergeCell ref="L64:Y64"/>
  </mergeCells>
  <dataValidations xWindow="983" yWindow="517" count="2">
    <dataValidation type="whole" allowBlank="1" showInputMessage="1" showErrorMessage="1" errorTitle="Full gate descent time" error="The gate descent time must be between 5 and 12 seconds.  Input gate descent time based on value obtained from the RR or observation during field review." sqref="F125:G125" xr:uid="{00000000-0002-0000-0000-000000000000}">
      <formula1>5</formula1>
      <formula2>12</formula2>
    </dataValidation>
    <dataValidation type="decimal" operator="greaterThanOrEqual" allowBlank="1" showInputMessage="1" showErrorMessage="1" errorTitle="Required Minimum Time" error="The required minimum time must be at least 20 seconds." sqref="F127:G127" xr:uid="{00000000-0002-0000-0000-000001000000}">
      <formula1>20</formula1>
    </dataValidation>
  </dataValidations>
  <printOptions horizontalCentered="1" verticalCentered="1"/>
  <pageMargins left="0.25" right="0.25" top="0.25" bottom="0.25" header="0" footer="0"/>
  <pageSetup scale="96" fitToHeight="5" orientation="landscape" r:id="rId1"/>
  <rowBreaks count="4" manualBreakCount="4">
    <brk id="37" max="16383" man="1"/>
    <brk id="76" max="29" man="1"/>
    <brk id="118" max="29" man="1"/>
    <brk id="147" max="29" man="1"/>
  </rowBreaks>
  <drawing r:id="rId2"/>
  <legacyDrawing r:id="rId3"/>
  <extLst>
    <ext xmlns:x14="http://schemas.microsoft.com/office/spreadsheetml/2009/9/main" uri="{CCE6A557-97BC-4b89-ADB6-D9C93CAAB3DF}">
      <x14:dataValidations xmlns:xm="http://schemas.microsoft.com/office/excel/2006/main" xWindow="983" yWindow="517" count="9">
        <x14:dataValidation type="list" allowBlank="1" showInputMessage="1" showErrorMessage="1" xr:uid="{00000000-0002-0000-0000-000002000000}">
          <x14:formula1>
            <xm:f>'AASHTO Designations'!$B$4</xm:f>
          </x14:formula1>
          <xm:sqref>D60</xm:sqref>
        </x14:dataValidation>
        <x14:dataValidation type="list" allowBlank="1" showInputMessage="1" showErrorMessage="1" xr:uid="{00000000-0002-0000-0000-000003000000}">
          <x14:formula1>
            <xm:f>'AASHTO Designations'!$B$5:$B$6</xm:f>
          </x14:formula1>
          <xm:sqref>E60</xm:sqref>
        </x14:dataValidation>
        <x14:dataValidation type="list" allowBlank="1" showInputMessage="1" showErrorMessage="1" xr:uid="{00000000-0002-0000-0000-000004000000}">
          <x14:formula1>
            <xm:f>'AASHTO Designations'!$B$7:$B$12</xm:f>
          </x14:formula1>
          <xm:sqref>F60:G60</xm:sqref>
        </x14:dataValidation>
        <x14:dataValidation type="list" allowBlank="1" showInputMessage="1" showErrorMessage="1" xr:uid="{00000000-0002-0000-0000-000005000000}">
          <x14:formula1>
            <xm:f>'AASHTO Designations'!$B$13:$B$20</xm:f>
          </x14:formula1>
          <xm:sqref>H60:I60</xm:sqref>
        </x14:dataValidation>
        <x14:dataValidation type="list" allowBlank="1" showInputMessage="1" showErrorMessage="1" xr:uid="{00000000-0002-0000-0000-000006000000}">
          <x14:formula1>
            <xm:f>Other!$B$1:$B$8</xm:f>
          </x14:formula1>
          <xm:sqref>B36</xm:sqref>
        </x14:dataValidation>
        <x14:dataValidation type="list" allowBlank="1" showInputMessage="1" showErrorMessage="1" xr:uid="{00000000-0002-0000-0000-000007000000}">
          <x14:formula1>
            <xm:f>IF(OR(D66="yes",F66="yes",H66="yes"),Other!$E$2,Other!$E$1:$E$2)</xm:f>
          </x14:formula1>
          <xm:sqref>E66</xm:sqref>
        </x14:dataValidation>
        <x14:dataValidation type="list" allowBlank="1" showInputMessage="1" showErrorMessage="1" xr:uid="{00000000-0002-0000-0000-000008000000}">
          <x14:formula1>
            <xm:f>IF(OR(E66="yes",F66="yes",H66="yes"),Other!$E$2,Other!$E$1:$E$2)</xm:f>
          </x14:formula1>
          <xm:sqref>D66</xm:sqref>
        </x14:dataValidation>
        <x14:dataValidation type="list" allowBlank="1" showInputMessage="1" showErrorMessage="1" xr:uid="{00000000-0002-0000-0000-000009000000}">
          <x14:formula1>
            <xm:f>IF(OR(D66="yes",E66="yes",H66="yes"),Other!$E$2,Other!$E$1:$E$2)</xm:f>
          </x14:formula1>
          <xm:sqref>F66:G66</xm:sqref>
        </x14:dataValidation>
        <x14:dataValidation type="list" allowBlank="1" showInputMessage="1" showErrorMessage="1" xr:uid="{00000000-0002-0000-0000-00000A000000}">
          <x14:formula1>
            <xm:f>IF(OR(D66="yes",E66="yes",F66="yes"),Other!$E$2,Other!$E$1:$E$2)</xm:f>
          </x14:formula1>
          <xm:sqref>H66:I66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G42"/>
  <sheetViews>
    <sheetView showGridLines="0" view="pageLayout" zoomScale="90" zoomScaleNormal="100" zoomScaleSheetLayoutView="90" zoomScalePageLayoutView="90" workbookViewId="0">
      <selection activeCell="E21" sqref="E21"/>
    </sheetView>
  </sheetViews>
  <sheetFormatPr defaultColWidth="9.109375" defaultRowHeight="14.4" x14ac:dyDescent="0.3"/>
  <cols>
    <col min="1" max="1" width="10.33203125" customWidth="1"/>
    <col min="2" max="2" width="34.6640625" style="2" customWidth="1"/>
    <col min="3" max="4" width="26.6640625" style="63" customWidth="1"/>
    <col min="5" max="5" width="26.5546875" style="51" customWidth="1"/>
    <col min="6" max="6" width="10.33203125" style="51" customWidth="1"/>
    <col min="7" max="7" width="21.88671875" customWidth="1"/>
  </cols>
  <sheetData>
    <row r="1" spans="2:7" ht="39" customHeight="1" x14ac:dyDescent="0.3">
      <c r="F1" s="183" t="s">
        <v>209</v>
      </c>
    </row>
    <row r="2" spans="2:7" ht="15" thickBot="1" x14ac:dyDescent="0.35"/>
    <row r="3" spans="2:7" s="26" customFormat="1" ht="25.35" customHeight="1" thickBot="1" x14ac:dyDescent="0.3">
      <c r="B3" s="89" t="s">
        <v>117</v>
      </c>
      <c r="C3" s="90" t="s">
        <v>115</v>
      </c>
      <c r="D3" s="90" t="s">
        <v>116</v>
      </c>
      <c r="E3" s="91" t="s">
        <v>151</v>
      </c>
      <c r="F3" s="160"/>
      <c r="G3" s="86"/>
    </row>
    <row r="4" spans="2:7" s="26" customFormat="1" x14ac:dyDescent="0.25">
      <c r="B4" s="92" t="s">
        <v>119</v>
      </c>
      <c r="C4" s="93" t="s">
        <v>118</v>
      </c>
      <c r="D4" s="93">
        <v>19</v>
      </c>
      <c r="E4" s="94">
        <v>4.3</v>
      </c>
      <c r="F4" s="51"/>
      <c r="G4" s="87"/>
    </row>
    <row r="5" spans="2:7" s="26" customFormat="1" x14ac:dyDescent="0.25">
      <c r="B5" s="95" t="s">
        <v>121</v>
      </c>
      <c r="C5" s="96" t="s">
        <v>120</v>
      </c>
      <c r="D5" s="96">
        <v>30</v>
      </c>
      <c r="E5" s="97">
        <v>13.5</v>
      </c>
      <c r="F5" s="51"/>
      <c r="G5" s="87"/>
    </row>
    <row r="6" spans="2:7" s="26" customFormat="1" x14ac:dyDescent="0.25">
      <c r="B6" s="95" t="s">
        <v>123</v>
      </c>
      <c r="C6" s="96" t="s">
        <v>122</v>
      </c>
      <c r="D6" s="96">
        <v>39.5</v>
      </c>
      <c r="E6" s="97">
        <v>13.5</v>
      </c>
      <c r="F6" s="51"/>
      <c r="G6" s="87"/>
    </row>
    <row r="7" spans="2:7" s="26" customFormat="1" x14ac:dyDescent="0.25">
      <c r="B7" s="95" t="s">
        <v>125</v>
      </c>
      <c r="C7" s="96" t="s">
        <v>124</v>
      </c>
      <c r="D7" s="96">
        <v>40.5</v>
      </c>
      <c r="E7" s="97">
        <v>12</v>
      </c>
      <c r="F7" s="51"/>
      <c r="G7" s="87"/>
    </row>
    <row r="8" spans="2:7" s="26" customFormat="1" x14ac:dyDescent="0.25">
      <c r="B8" s="95" t="s">
        <v>127</v>
      </c>
      <c r="C8" s="96" t="s">
        <v>126</v>
      </c>
      <c r="D8" s="96">
        <v>45.5</v>
      </c>
      <c r="E8" s="97">
        <v>12</v>
      </c>
      <c r="F8" s="51"/>
      <c r="G8" s="87"/>
    </row>
    <row r="9" spans="2:7" s="26" customFormat="1" x14ac:dyDescent="0.25">
      <c r="B9" s="95" t="s">
        <v>129</v>
      </c>
      <c r="C9" s="96" t="s">
        <v>128</v>
      </c>
      <c r="D9" s="96">
        <v>40</v>
      </c>
      <c r="E9" s="97">
        <v>10.5</v>
      </c>
      <c r="F9" s="51"/>
      <c r="G9" s="87"/>
    </row>
    <row r="10" spans="2:7" s="26" customFormat="1" ht="28.8" x14ac:dyDescent="0.25">
      <c r="B10" s="95" t="s">
        <v>131</v>
      </c>
      <c r="C10" s="96" t="s">
        <v>130</v>
      </c>
      <c r="D10" s="96">
        <v>35.799999999999997</v>
      </c>
      <c r="E10" s="97">
        <v>10.5</v>
      </c>
      <c r="F10" s="51"/>
      <c r="G10" s="87"/>
    </row>
    <row r="11" spans="2:7" s="26" customFormat="1" x14ac:dyDescent="0.25">
      <c r="B11" s="95" t="s">
        <v>133</v>
      </c>
      <c r="C11" s="96" t="s">
        <v>132</v>
      </c>
      <c r="D11" s="96">
        <v>40</v>
      </c>
      <c r="E11" s="97">
        <v>10.5</v>
      </c>
      <c r="F11" s="51"/>
      <c r="G11" s="87"/>
    </row>
    <row r="12" spans="2:7" s="26" customFormat="1" x14ac:dyDescent="0.25">
      <c r="B12" s="95" t="s">
        <v>135</v>
      </c>
      <c r="C12" s="96" t="s">
        <v>134</v>
      </c>
      <c r="D12" s="96">
        <v>60</v>
      </c>
      <c r="E12" s="97">
        <v>11</v>
      </c>
      <c r="F12" s="51"/>
      <c r="G12" s="87"/>
    </row>
    <row r="13" spans="2:7" s="26" customFormat="1" x14ac:dyDescent="0.25">
      <c r="B13" s="95" t="s">
        <v>137</v>
      </c>
      <c r="C13" s="96" t="s">
        <v>136</v>
      </c>
      <c r="D13" s="96">
        <v>45.5</v>
      </c>
      <c r="E13" s="97">
        <v>13.5</v>
      </c>
      <c r="F13" s="51"/>
      <c r="G13" s="87"/>
    </row>
    <row r="14" spans="2:7" s="26" customFormat="1" x14ac:dyDescent="0.25">
      <c r="B14" s="95" t="s">
        <v>149</v>
      </c>
      <c r="C14" s="96" t="s">
        <v>150</v>
      </c>
      <c r="D14" s="96">
        <v>50</v>
      </c>
      <c r="E14" s="97">
        <v>13.5</v>
      </c>
      <c r="F14" s="51"/>
      <c r="G14" s="87"/>
    </row>
    <row r="15" spans="2:7" s="26" customFormat="1" x14ac:dyDescent="0.25">
      <c r="B15" s="95" t="s">
        <v>139</v>
      </c>
      <c r="C15" s="96" t="s">
        <v>138</v>
      </c>
      <c r="D15" s="96">
        <v>69</v>
      </c>
      <c r="E15" s="97">
        <v>13.5</v>
      </c>
      <c r="F15" s="51"/>
      <c r="G15" s="87"/>
    </row>
    <row r="16" spans="2:7" s="26" customFormat="1" x14ac:dyDescent="0.25">
      <c r="B16" s="95" t="s">
        <v>140</v>
      </c>
      <c r="C16" s="96" t="s">
        <v>138</v>
      </c>
      <c r="D16" s="96">
        <v>73.5</v>
      </c>
      <c r="E16" s="97">
        <v>13.5</v>
      </c>
      <c r="F16" s="51"/>
      <c r="G16" s="87"/>
    </row>
    <row r="17" spans="1:7" s="26" customFormat="1" ht="28.8" x14ac:dyDescent="0.25">
      <c r="B17" s="95" t="s">
        <v>142</v>
      </c>
      <c r="C17" s="96" t="s">
        <v>141</v>
      </c>
      <c r="D17" s="96">
        <v>72.3</v>
      </c>
      <c r="E17" s="97">
        <v>13.5</v>
      </c>
      <c r="F17" s="51"/>
      <c r="G17" s="87"/>
    </row>
    <row r="18" spans="1:7" s="26" customFormat="1" ht="28.8" x14ac:dyDescent="0.25">
      <c r="B18" s="95" t="s">
        <v>144</v>
      </c>
      <c r="C18" s="96" t="s">
        <v>143</v>
      </c>
      <c r="D18" s="96">
        <v>97.3</v>
      </c>
      <c r="E18" s="97">
        <v>13.5</v>
      </c>
      <c r="F18" s="51"/>
      <c r="G18" s="87"/>
    </row>
    <row r="19" spans="1:7" s="26" customFormat="1" x14ac:dyDescent="0.25">
      <c r="B19" s="95" t="s">
        <v>146</v>
      </c>
      <c r="C19" s="96" t="s">
        <v>145</v>
      </c>
      <c r="D19" s="96">
        <v>104.8</v>
      </c>
      <c r="E19" s="97">
        <v>13.5</v>
      </c>
      <c r="F19" s="51"/>
      <c r="G19" s="87"/>
    </row>
    <row r="20" spans="1:7" s="26" customFormat="1" ht="28.8" x14ac:dyDescent="0.25">
      <c r="B20" s="95" t="s">
        <v>148</v>
      </c>
      <c r="C20" s="96" t="s">
        <v>147</v>
      </c>
      <c r="D20" s="96">
        <v>114</v>
      </c>
      <c r="E20" s="97">
        <v>13.5</v>
      </c>
      <c r="F20" s="51"/>
      <c r="G20" s="87"/>
    </row>
    <row r="21" spans="1:7" s="26" customFormat="1" ht="176.4" customHeight="1" x14ac:dyDescent="0.25">
      <c r="B21" s="161"/>
      <c r="C21" s="161"/>
      <c r="D21" s="161"/>
      <c r="E21" s="51"/>
      <c r="F21" s="51"/>
      <c r="G21" s="87"/>
    </row>
    <row r="22" spans="1:7" s="26" customFormat="1" ht="30" customHeight="1" x14ac:dyDescent="0.3">
      <c r="A22" s="348"/>
      <c r="B22" s="348"/>
      <c r="C22" s="348"/>
      <c r="D22" s="348"/>
      <c r="E22" s="51"/>
      <c r="F22" s="1" t="s">
        <v>181</v>
      </c>
    </row>
    <row r="23" spans="1:7" s="26" customFormat="1" ht="12" x14ac:dyDescent="0.25">
      <c r="B23" s="88"/>
      <c r="C23" s="87"/>
      <c r="D23" s="87"/>
      <c r="E23" s="87"/>
      <c r="F23" s="87"/>
    </row>
    <row r="24" spans="1:7" s="26" customFormat="1" ht="12" x14ac:dyDescent="0.25">
      <c r="B24" s="88"/>
      <c r="C24" s="87"/>
      <c r="D24" s="87"/>
      <c r="E24" s="87"/>
      <c r="F24" s="87"/>
    </row>
    <row r="25" spans="1:7" s="26" customFormat="1" ht="12" x14ac:dyDescent="0.25">
      <c r="B25" s="88"/>
      <c r="C25" s="87"/>
      <c r="D25" s="87"/>
      <c r="E25" s="87"/>
      <c r="F25" s="87"/>
    </row>
    <row r="26" spans="1:7" s="26" customFormat="1" ht="12" x14ac:dyDescent="0.25">
      <c r="B26" s="88"/>
      <c r="C26" s="87"/>
      <c r="D26" s="87"/>
      <c r="E26" s="87"/>
      <c r="F26" s="87"/>
    </row>
    <row r="27" spans="1:7" s="26" customFormat="1" ht="12" x14ac:dyDescent="0.25">
      <c r="B27" s="88"/>
      <c r="C27" s="87"/>
      <c r="D27" s="87"/>
      <c r="E27" s="87"/>
      <c r="F27" s="87"/>
    </row>
    <row r="28" spans="1:7" s="26" customFormat="1" ht="12" x14ac:dyDescent="0.25">
      <c r="B28" s="88"/>
      <c r="C28" s="87"/>
      <c r="D28" s="87"/>
      <c r="E28" s="87"/>
      <c r="F28" s="87"/>
    </row>
    <row r="29" spans="1:7" s="26" customFormat="1" ht="12" x14ac:dyDescent="0.25">
      <c r="B29" s="88"/>
      <c r="C29" s="87"/>
      <c r="D29" s="87"/>
      <c r="E29" s="87"/>
      <c r="F29" s="87"/>
    </row>
    <row r="30" spans="1:7" s="26" customFormat="1" ht="12" x14ac:dyDescent="0.25">
      <c r="B30" s="88"/>
      <c r="C30" s="87"/>
      <c r="D30" s="87"/>
      <c r="E30" s="87"/>
      <c r="F30" s="87"/>
    </row>
    <row r="31" spans="1:7" s="26" customFormat="1" ht="12" x14ac:dyDescent="0.25">
      <c r="B31" s="88"/>
      <c r="C31" s="87"/>
      <c r="D31" s="87"/>
      <c r="E31" s="87"/>
      <c r="F31" s="87"/>
    </row>
    <row r="32" spans="1:7" s="26" customFormat="1" ht="12" x14ac:dyDescent="0.25">
      <c r="B32" s="88"/>
      <c r="C32" s="87"/>
      <c r="D32" s="87"/>
      <c r="E32" s="87"/>
      <c r="F32" s="87"/>
    </row>
    <row r="33" spans="2:6" s="26" customFormat="1" ht="12" x14ac:dyDescent="0.25">
      <c r="B33" s="88"/>
      <c r="C33" s="87"/>
      <c r="D33" s="87"/>
      <c r="E33" s="87"/>
      <c r="F33" s="87"/>
    </row>
    <row r="34" spans="2:6" s="26" customFormat="1" ht="12" x14ac:dyDescent="0.25">
      <c r="B34" s="88"/>
      <c r="C34" s="87"/>
      <c r="D34" s="87"/>
      <c r="E34" s="87"/>
      <c r="F34" s="87"/>
    </row>
    <row r="35" spans="2:6" s="26" customFormat="1" ht="12" x14ac:dyDescent="0.25">
      <c r="B35" s="88"/>
      <c r="C35" s="87"/>
      <c r="D35" s="87"/>
      <c r="E35" s="87"/>
      <c r="F35" s="87"/>
    </row>
    <row r="36" spans="2:6" s="26" customFormat="1" ht="12" x14ac:dyDescent="0.25">
      <c r="B36" s="88"/>
      <c r="C36" s="87"/>
      <c r="D36" s="87"/>
      <c r="E36" s="87"/>
      <c r="F36" s="87"/>
    </row>
    <row r="37" spans="2:6" s="26" customFormat="1" ht="12" x14ac:dyDescent="0.25">
      <c r="B37" s="88"/>
      <c r="C37" s="87"/>
      <c r="D37" s="87"/>
      <c r="E37" s="87"/>
      <c r="F37" s="87"/>
    </row>
    <row r="38" spans="2:6" s="26" customFormat="1" ht="12" x14ac:dyDescent="0.25">
      <c r="B38" s="88"/>
      <c r="C38" s="87"/>
      <c r="D38" s="87"/>
      <c r="E38" s="87"/>
      <c r="F38" s="87"/>
    </row>
    <row r="39" spans="2:6" s="26" customFormat="1" ht="12" x14ac:dyDescent="0.25">
      <c r="B39" s="88"/>
      <c r="C39" s="87"/>
      <c r="D39" s="87"/>
      <c r="E39" s="87"/>
      <c r="F39" s="87"/>
    </row>
    <row r="40" spans="2:6" s="26" customFormat="1" ht="12" x14ac:dyDescent="0.25">
      <c r="B40" s="88"/>
      <c r="C40" s="87"/>
      <c r="D40" s="87"/>
      <c r="E40" s="87"/>
      <c r="F40" s="87"/>
    </row>
    <row r="41" spans="2:6" s="26" customFormat="1" ht="12" x14ac:dyDescent="0.25">
      <c r="B41" s="88"/>
      <c r="C41" s="87"/>
      <c r="D41" s="87"/>
      <c r="E41" s="87"/>
      <c r="F41" s="87"/>
    </row>
    <row r="42" spans="2:6" s="26" customFormat="1" ht="12" x14ac:dyDescent="0.25">
      <c r="B42" s="88"/>
      <c r="C42" s="87"/>
      <c r="D42" s="87"/>
      <c r="E42" s="87"/>
      <c r="F42" s="87"/>
    </row>
  </sheetData>
  <sheetProtection algorithmName="SHA-512" hashValue="xzAgl8qG360aaKRtqevpULQuJIlUOqamB4buIQRkJQ4RtvI+mFWreBao4tkPHqCSO/K6jJomla2awi9LNl52Lg==" saltValue="udkngRxemsC7kQNmyamdtw==" spinCount="100000" sheet="1" objects="1" scenarios="1" selectLockedCells="1"/>
  <mergeCells count="1">
    <mergeCell ref="A22:D22"/>
  </mergeCells>
  <printOptions horizontalCentered="1"/>
  <pageMargins left="0.25" right="0.25" top="0.25" bottom="0.25" header="0" footer="0"/>
  <pageSetup orientation="landscape" horizontalDpi="1200" verticalDpi="1200" r:id="rId1"/>
  <headerFooter>
    <oddHeader>&amp;C&amp;G</oddHead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
  <dimension ref="A1:G46"/>
  <sheetViews>
    <sheetView showGridLines="0" view="pageLayout" topLeftCell="A4" zoomScale="80" zoomScaleNormal="100" zoomScaleSheetLayoutView="100" zoomScalePageLayoutView="80" workbookViewId="0">
      <selection activeCell="E21" sqref="E21"/>
    </sheetView>
  </sheetViews>
  <sheetFormatPr defaultColWidth="9.109375" defaultRowHeight="14.4" x14ac:dyDescent="0.3"/>
  <cols>
    <col min="1" max="1" width="5.6640625" customWidth="1"/>
    <col min="2" max="2" width="16.5546875" style="2" customWidth="1"/>
    <col min="3" max="5" width="26.6640625" style="63" customWidth="1"/>
    <col min="6" max="6" width="26.6640625" style="51" customWidth="1"/>
    <col min="7" max="7" width="5.6640625" customWidth="1"/>
  </cols>
  <sheetData>
    <row r="1" spans="1:7" ht="39" customHeight="1" x14ac:dyDescent="0.3">
      <c r="G1" s="183" t="s">
        <v>209</v>
      </c>
    </row>
    <row r="2" spans="1:7" ht="15.75" customHeight="1" thickBot="1" x14ac:dyDescent="0.35"/>
    <row r="3" spans="1:7" s="26" customFormat="1" ht="25.35" customHeight="1" thickBot="1" x14ac:dyDescent="0.3">
      <c r="B3" s="64" t="s">
        <v>11</v>
      </c>
      <c r="C3" s="55" t="s">
        <v>75</v>
      </c>
      <c r="D3" s="55" t="s">
        <v>76</v>
      </c>
      <c r="E3" s="55" t="s">
        <v>77</v>
      </c>
      <c r="F3" s="56" t="s">
        <v>78</v>
      </c>
    </row>
    <row r="4" spans="1:7" s="26" customFormat="1" ht="11.4" customHeight="1" x14ac:dyDescent="0.25">
      <c r="A4" s="162"/>
      <c r="B4" s="166">
        <v>0</v>
      </c>
      <c r="C4" s="57">
        <v>0</v>
      </c>
      <c r="D4" s="57">
        <v>0</v>
      </c>
      <c r="E4" s="57">
        <v>0</v>
      </c>
      <c r="F4" s="58">
        <v>0</v>
      </c>
    </row>
    <row r="5" spans="1:7" s="26" customFormat="1" ht="11.4" customHeight="1" x14ac:dyDescent="0.25">
      <c r="A5" s="162"/>
      <c r="B5" s="167">
        <v>10</v>
      </c>
      <c r="C5" s="59">
        <v>1.9</v>
      </c>
      <c r="D5" s="59">
        <v>2.1</v>
      </c>
      <c r="E5" s="59">
        <v>2.7</v>
      </c>
      <c r="F5" s="60">
        <v>4.0999999999999996</v>
      </c>
    </row>
    <row r="6" spans="1:7" s="26" customFormat="1" ht="11.4" customHeight="1" x14ac:dyDescent="0.25">
      <c r="A6" s="162"/>
      <c r="B6" s="167">
        <v>20</v>
      </c>
      <c r="C6" s="59">
        <v>2.6</v>
      </c>
      <c r="D6" s="59">
        <v>3</v>
      </c>
      <c r="E6" s="59">
        <v>3.7</v>
      </c>
      <c r="F6" s="60">
        <v>6</v>
      </c>
      <c r="G6" s="162"/>
    </row>
    <row r="7" spans="1:7" s="26" customFormat="1" ht="11.4" customHeight="1" x14ac:dyDescent="0.25">
      <c r="B7" s="167">
        <v>30</v>
      </c>
      <c r="C7" s="59">
        <v>3.1</v>
      </c>
      <c r="D7" s="59">
        <v>3.7</v>
      </c>
      <c r="E7" s="59">
        <v>4.5999999999999996</v>
      </c>
      <c r="F7" s="60">
        <v>7.2</v>
      </c>
    </row>
    <row r="8" spans="1:7" s="26" customFormat="1" ht="11.4" customHeight="1" x14ac:dyDescent="0.25">
      <c r="B8" s="167">
        <v>40</v>
      </c>
      <c r="C8" s="59">
        <v>3.8</v>
      </c>
      <c r="D8" s="59">
        <v>4.3</v>
      </c>
      <c r="E8" s="59">
        <v>5.3</v>
      </c>
      <c r="F8" s="60">
        <v>8.4</v>
      </c>
    </row>
    <row r="9" spans="1:7" s="26" customFormat="1" ht="11.4" customHeight="1" x14ac:dyDescent="0.25">
      <c r="B9" s="167">
        <v>50</v>
      </c>
      <c r="C9" s="59">
        <v>4.2</v>
      </c>
      <c r="D9" s="59">
        <v>5</v>
      </c>
      <c r="E9" s="59">
        <v>6.1</v>
      </c>
      <c r="F9" s="60">
        <v>9.3000000000000007</v>
      </c>
    </row>
    <row r="10" spans="1:7" s="26" customFormat="1" ht="11.4" customHeight="1" x14ac:dyDescent="0.25">
      <c r="B10" s="167">
        <v>60</v>
      </c>
      <c r="C10" s="59">
        <v>4.7</v>
      </c>
      <c r="D10" s="59">
        <v>5.4</v>
      </c>
      <c r="E10" s="59">
        <v>6.8</v>
      </c>
      <c r="F10" s="60">
        <v>10.4</v>
      </c>
    </row>
    <row r="11" spans="1:7" s="26" customFormat="1" ht="11.4" customHeight="1" x14ac:dyDescent="0.25">
      <c r="B11" s="167">
        <v>70</v>
      </c>
      <c r="C11" s="59">
        <v>5.0999999999999996</v>
      </c>
      <c r="D11" s="59">
        <v>6</v>
      </c>
      <c r="E11" s="59">
        <v>7.1</v>
      </c>
      <c r="F11" s="60">
        <v>11.1</v>
      </c>
    </row>
    <row r="12" spans="1:7" s="26" customFormat="1" ht="11.4" customHeight="1" x14ac:dyDescent="0.25">
      <c r="B12" s="167">
        <v>80</v>
      </c>
      <c r="C12" s="59">
        <v>5.5</v>
      </c>
      <c r="D12" s="59">
        <v>6.4</v>
      </c>
      <c r="E12" s="59">
        <v>7.9</v>
      </c>
      <c r="F12" s="60">
        <v>12.1</v>
      </c>
    </row>
    <row r="13" spans="1:7" s="26" customFormat="1" ht="11.4" customHeight="1" x14ac:dyDescent="0.25">
      <c r="B13" s="167">
        <v>90</v>
      </c>
      <c r="C13" s="59">
        <v>5.9</v>
      </c>
      <c r="D13" s="59">
        <v>6.9</v>
      </c>
      <c r="E13" s="59">
        <v>8.3000000000000007</v>
      </c>
      <c r="F13" s="60">
        <v>12.9</v>
      </c>
    </row>
    <row r="14" spans="1:7" s="26" customFormat="1" ht="11.4" customHeight="1" x14ac:dyDescent="0.25">
      <c r="B14" s="167">
        <v>100</v>
      </c>
      <c r="C14" s="59">
        <v>6.1</v>
      </c>
      <c r="D14" s="59">
        <v>7.3</v>
      </c>
      <c r="E14" s="59">
        <v>8.9</v>
      </c>
      <c r="F14" s="60">
        <v>13.5</v>
      </c>
    </row>
    <row r="15" spans="1:7" s="26" customFormat="1" ht="11.4" customHeight="1" x14ac:dyDescent="0.25">
      <c r="B15" s="167">
        <v>110</v>
      </c>
      <c r="C15" s="59">
        <v>6.6</v>
      </c>
      <c r="D15" s="59">
        <v>7.8</v>
      </c>
      <c r="E15" s="59">
        <v>9.1999999999999993</v>
      </c>
      <c r="F15" s="60">
        <v>14.2</v>
      </c>
    </row>
    <row r="16" spans="1:7" s="26" customFormat="1" ht="11.4" customHeight="1" x14ac:dyDescent="0.25">
      <c r="B16" s="167">
        <v>120</v>
      </c>
      <c r="C16" s="59">
        <v>6.9</v>
      </c>
      <c r="D16" s="59">
        <v>8.1</v>
      </c>
      <c r="E16" s="59">
        <v>9.6999999999999993</v>
      </c>
      <c r="F16" s="60">
        <v>15</v>
      </c>
    </row>
    <row r="17" spans="2:6" s="26" customFormat="1" ht="11.4" customHeight="1" x14ac:dyDescent="0.25">
      <c r="B17" s="167">
        <v>130</v>
      </c>
      <c r="C17" s="59">
        <v>7.1</v>
      </c>
      <c r="D17" s="59">
        <v>8.6</v>
      </c>
      <c r="E17" s="59">
        <v>10.1</v>
      </c>
      <c r="F17" s="60">
        <v>15.5</v>
      </c>
    </row>
    <row r="18" spans="2:6" s="26" customFormat="1" ht="11.4" customHeight="1" x14ac:dyDescent="0.25">
      <c r="B18" s="167">
        <v>140</v>
      </c>
      <c r="C18" s="59">
        <v>7.5</v>
      </c>
      <c r="D18" s="59">
        <v>9</v>
      </c>
      <c r="E18" s="59">
        <v>10.6</v>
      </c>
      <c r="F18" s="60">
        <v>16.100000000000001</v>
      </c>
    </row>
    <row r="19" spans="2:6" s="26" customFormat="1" ht="11.4" customHeight="1" x14ac:dyDescent="0.25">
      <c r="B19" s="167">
        <v>150</v>
      </c>
      <c r="C19" s="59">
        <v>7.9</v>
      </c>
      <c r="D19" s="59">
        <v>9.4</v>
      </c>
      <c r="E19" s="59">
        <v>11</v>
      </c>
      <c r="F19" s="60">
        <v>16.899999999999999</v>
      </c>
    </row>
    <row r="20" spans="2:6" s="26" customFormat="1" ht="11.4" customHeight="1" x14ac:dyDescent="0.25">
      <c r="B20" s="167">
        <v>160</v>
      </c>
      <c r="C20" s="59">
        <v>8.1</v>
      </c>
      <c r="D20" s="59">
        <v>9.6999999999999993</v>
      </c>
      <c r="E20" s="59">
        <v>11.4</v>
      </c>
      <c r="F20" s="60">
        <v>17.2</v>
      </c>
    </row>
    <row r="21" spans="2:6" s="26" customFormat="1" ht="11.4" customHeight="1" x14ac:dyDescent="0.25">
      <c r="B21" s="167">
        <v>170</v>
      </c>
      <c r="C21" s="59">
        <v>8.4</v>
      </c>
      <c r="D21" s="59">
        <v>10.1</v>
      </c>
      <c r="E21" s="59">
        <v>11.9</v>
      </c>
      <c r="F21" s="60">
        <v>17.899999999999999</v>
      </c>
    </row>
    <row r="22" spans="2:6" s="26" customFormat="1" ht="11.4" customHeight="1" x14ac:dyDescent="0.25">
      <c r="B22" s="167">
        <v>180</v>
      </c>
      <c r="C22" s="59">
        <v>8.8000000000000007</v>
      </c>
      <c r="D22" s="59">
        <v>10.4</v>
      </c>
      <c r="E22" s="59">
        <v>12.1</v>
      </c>
      <c r="F22" s="60">
        <v>18.399999999999999</v>
      </c>
    </row>
    <row r="23" spans="2:6" s="26" customFormat="1" ht="11.4" customHeight="1" x14ac:dyDescent="0.25">
      <c r="B23" s="167">
        <v>190</v>
      </c>
      <c r="C23" s="59">
        <v>9</v>
      </c>
      <c r="D23" s="59">
        <v>10.8</v>
      </c>
      <c r="E23" s="59">
        <v>12.6</v>
      </c>
      <c r="F23" s="60">
        <v>19</v>
      </c>
    </row>
    <row r="24" spans="2:6" s="26" customFormat="1" ht="11.4" customHeight="1" x14ac:dyDescent="0.25">
      <c r="B24" s="167">
        <v>200</v>
      </c>
      <c r="C24" s="59">
        <v>9.3000000000000007</v>
      </c>
      <c r="D24" s="59">
        <v>11.1</v>
      </c>
      <c r="E24" s="59">
        <v>12.9</v>
      </c>
      <c r="F24" s="60">
        <v>19.5</v>
      </c>
    </row>
    <row r="25" spans="2:6" s="26" customFormat="1" ht="11.4" customHeight="1" x14ac:dyDescent="0.25">
      <c r="B25" s="167">
        <v>210</v>
      </c>
      <c r="C25" s="59">
        <v>9.6</v>
      </c>
      <c r="D25" s="59">
        <v>11.5</v>
      </c>
      <c r="E25" s="59">
        <v>13.2</v>
      </c>
      <c r="F25" s="60">
        <v>20</v>
      </c>
    </row>
    <row r="26" spans="2:6" s="26" customFormat="1" ht="11.4" customHeight="1" x14ac:dyDescent="0.25">
      <c r="B26" s="167">
        <v>220</v>
      </c>
      <c r="C26" s="59">
        <v>9.9</v>
      </c>
      <c r="D26" s="59">
        <v>11.9</v>
      </c>
      <c r="E26" s="59">
        <v>13.6</v>
      </c>
      <c r="F26" s="60">
        <v>20.5</v>
      </c>
    </row>
    <row r="27" spans="2:6" s="26" customFormat="1" ht="11.4" customHeight="1" x14ac:dyDescent="0.25">
      <c r="B27" s="167">
        <v>230</v>
      </c>
      <c r="C27" s="59">
        <v>10.1</v>
      </c>
      <c r="D27" s="59">
        <v>12.1</v>
      </c>
      <c r="E27" s="59">
        <v>13.9</v>
      </c>
      <c r="F27" s="60">
        <v>21</v>
      </c>
    </row>
    <row r="28" spans="2:6" s="26" customFormat="1" ht="11.4" customHeight="1" x14ac:dyDescent="0.25">
      <c r="B28" s="167">
        <v>240</v>
      </c>
      <c r="C28" s="59">
        <v>10.3</v>
      </c>
      <c r="D28" s="59">
        <v>12.4</v>
      </c>
      <c r="E28" s="59">
        <v>14.1</v>
      </c>
      <c r="F28" s="60">
        <v>21.5</v>
      </c>
    </row>
    <row r="29" spans="2:6" s="26" customFormat="1" ht="11.4" customHeight="1" x14ac:dyDescent="0.25">
      <c r="B29" s="167">
        <v>250</v>
      </c>
      <c r="C29" s="59">
        <v>10.6</v>
      </c>
      <c r="D29" s="59">
        <v>12.8</v>
      </c>
      <c r="E29" s="59">
        <v>14.6</v>
      </c>
      <c r="F29" s="60">
        <v>22</v>
      </c>
    </row>
    <row r="30" spans="2:6" s="26" customFormat="1" ht="11.4" customHeight="1" x14ac:dyDescent="0.25">
      <c r="B30" s="167">
        <v>260</v>
      </c>
      <c r="C30" s="59">
        <v>10.9</v>
      </c>
      <c r="D30" s="59">
        <v>13.1</v>
      </c>
      <c r="E30" s="59">
        <v>14.9</v>
      </c>
      <c r="F30" s="60">
        <v>22.5</v>
      </c>
    </row>
    <row r="31" spans="2:6" s="26" customFormat="1" ht="11.4" customHeight="1" x14ac:dyDescent="0.25">
      <c r="B31" s="167">
        <v>270</v>
      </c>
      <c r="C31" s="59">
        <v>11.1</v>
      </c>
      <c r="D31" s="59">
        <v>13.4</v>
      </c>
      <c r="E31" s="59">
        <v>15.1</v>
      </c>
      <c r="F31" s="60">
        <v>23</v>
      </c>
    </row>
    <row r="32" spans="2:6" s="26" customFormat="1" ht="11.4" customHeight="1" x14ac:dyDescent="0.25">
      <c r="B32" s="167">
        <v>280</v>
      </c>
      <c r="C32" s="59">
        <v>11.3</v>
      </c>
      <c r="D32" s="59">
        <v>13.8</v>
      </c>
      <c r="E32" s="59">
        <v>15.5</v>
      </c>
      <c r="F32" s="60">
        <v>23.4</v>
      </c>
    </row>
    <row r="33" spans="1:7" s="26" customFormat="1" ht="11.4" customHeight="1" x14ac:dyDescent="0.25">
      <c r="B33" s="167">
        <v>290</v>
      </c>
      <c r="C33" s="59">
        <v>11.6</v>
      </c>
      <c r="D33" s="59">
        <v>14</v>
      </c>
      <c r="E33" s="59">
        <v>15.9</v>
      </c>
      <c r="F33" s="60">
        <v>23.9</v>
      </c>
    </row>
    <row r="34" spans="1:7" s="26" customFormat="1" ht="11.4" customHeight="1" x14ac:dyDescent="0.25">
      <c r="B34" s="167">
        <v>300</v>
      </c>
      <c r="C34" s="59">
        <v>11.8</v>
      </c>
      <c r="D34" s="59">
        <v>14.2</v>
      </c>
      <c r="E34" s="59">
        <v>16</v>
      </c>
      <c r="F34" s="60">
        <v>24.2</v>
      </c>
    </row>
    <row r="35" spans="1:7" s="26" customFormat="1" ht="11.4" customHeight="1" x14ac:dyDescent="0.25">
      <c r="B35" s="167">
        <v>310</v>
      </c>
      <c r="C35" s="59">
        <v>12</v>
      </c>
      <c r="D35" s="59">
        <v>14.7</v>
      </c>
      <c r="E35" s="59">
        <v>16.3</v>
      </c>
      <c r="F35" s="60">
        <v>24.8</v>
      </c>
    </row>
    <row r="36" spans="1:7" s="26" customFormat="1" ht="11.4" customHeight="1" x14ac:dyDescent="0.25">
      <c r="B36" s="167">
        <v>320</v>
      </c>
      <c r="C36" s="59">
        <v>12.2</v>
      </c>
      <c r="D36" s="59">
        <v>14.9</v>
      </c>
      <c r="E36" s="59">
        <v>16.7</v>
      </c>
      <c r="F36" s="60">
        <v>25.1</v>
      </c>
    </row>
    <row r="37" spans="1:7" s="26" customFormat="1" ht="11.4" customHeight="1" x14ac:dyDescent="0.25">
      <c r="B37" s="167">
        <v>330</v>
      </c>
      <c r="C37" s="59">
        <v>12.5</v>
      </c>
      <c r="D37" s="59">
        <v>15.2</v>
      </c>
      <c r="E37" s="59">
        <v>16.899999999999999</v>
      </c>
      <c r="F37" s="60">
        <v>25.5</v>
      </c>
    </row>
    <row r="38" spans="1:7" s="26" customFormat="1" ht="11.4" customHeight="1" x14ac:dyDescent="0.25">
      <c r="B38" s="167">
        <v>340</v>
      </c>
      <c r="C38" s="59">
        <v>12.8</v>
      </c>
      <c r="D38" s="59">
        <v>15.5</v>
      </c>
      <c r="E38" s="59">
        <v>17.2</v>
      </c>
      <c r="F38" s="60">
        <v>26</v>
      </c>
    </row>
    <row r="39" spans="1:7" s="26" customFormat="1" ht="11.4" customHeight="1" x14ac:dyDescent="0.25">
      <c r="B39" s="167">
        <v>350</v>
      </c>
      <c r="C39" s="59">
        <v>13</v>
      </c>
      <c r="D39" s="59">
        <v>15.8</v>
      </c>
      <c r="E39" s="59">
        <v>17.5</v>
      </c>
      <c r="F39" s="60">
        <v>26.3</v>
      </c>
    </row>
    <row r="40" spans="1:7" s="26" customFormat="1" ht="11.4" customHeight="1" x14ac:dyDescent="0.25">
      <c r="B40" s="167">
        <v>360</v>
      </c>
      <c r="C40" s="59">
        <v>13.1</v>
      </c>
      <c r="D40" s="59">
        <v>16</v>
      </c>
      <c r="E40" s="59">
        <v>17.899999999999999</v>
      </c>
      <c r="F40" s="60">
        <v>26.9</v>
      </c>
    </row>
    <row r="41" spans="1:7" s="26" customFormat="1" ht="11.4" customHeight="1" x14ac:dyDescent="0.25">
      <c r="B41" s="167">
        <v>370</v>
      </c>
      <c r="C41" s="59">
        <v>13.3</v>
      </c>
      <c r="D41" s="59">
        <v>16.3</v>
      </c>
      <c r="E41" s="59">
        <v>18.100000000000001</v>
      </c>
      <c r="F41" s="60">
        <v>27.1</v>
      </c>
    </row>
    <row r="42" spans="1:7" s="26" customFormat="1" ht="11.4" customHeight="1" x14ac:dyDescent="0.25">
      <c r="B42" s="167">
        <v>380</v>
      </c>
      <c r="C42" s="59">
        <v>13.7</v>
      </c>
      <c r="D42" s="59">
        <v>16.7</v>
      </c>
      <c r="E42" s="59">
        <v>18.3</v>
      </c>
      <c r="F42" s="60">
        <v>27.6</v>
      </c>
    </row>
    <row r="43" spans="1:7" s="26" customFormat="1" ht="11.4" customHeight="1" x14ac:dyDescent="0.25">
      <c r="B43" s="167">
        <v>390</v>
      </c>
      <c r="C43" s="59">
        <v>13.9</v>
      </c>
      <c r="D43" s="59">
        <v>17</v>
      </c>
      <c r="E43" s="59">
        <v>18.600000000000001</v>
      </c>
      <c r="F43" s="60">
        <v>28</v>
      </c>
    </row>
    <row r="44" spans="1:7" s="26" customFormat="1" ht="11.4" customHeight="1" thickBot="1" x14ac:dyDescent="0.3">
      <c r="B44" s="168">
        <v>400</v>
      </c>
      <c r="C44" s="61">
        <v>14</v>
      </c>
      <c r="D44" s="61">
        <v>17.100000000000001</v>
      </c>
      <c r="E44" s="61">
        <v>18.899999999999999</v>
      </c>
      <c r="F44" s="62">
        <v>28.2</v>
      </c>
    </row>
    <row r="45" spans="1:7" s="26" customFormat="1" ht="23.1" customHeight="1" x14ac:dyDescent="0.25">
      <c r="B45" s="87"/>
      <c r="C45" s="87"/>
      <c r="D45" s="87"/>
      <c r="E45" s="87"/>
      <c r="F45" s="87"/>
    </row>
    <row r="46" spans="1:7" ht="30" customHeight="1" x14ac:dyDescent="0.3">
      <c r="A46" s="348"/>
      <c r="B46" s="349"/>
      <c r="C46" s="349"/>
      <c r="D46" s="349"/>
      <c r="E46" s="349"/>
      <c r="G46" s="1" t="s">
        <v>181</v>
      </c>
    </row>
  </sheetData>
  <sheetProtection algorithmName="SHA-512" hashValue="ULbOOrD/n/ioddMkFiBLY/0uleWkyMmpsrKForzXl72eb3Zc9eXdDp1Ox6DrZYGYDzi6xJnLTPux/n2B2a7/5w==" saltValue="5g/5UqJgMCZCDdVf1THTpw==" spinCount="100000" sheet="1" objects="1" scenarios="1" selectLockedCells="1"/>
  <mergeCells count="1">
    <mergeCell ref="A46:E46"/>
  </mergeCells>
  <printOptions horizontalCentered="1"/>
  <pageMargins left="0.25" right="0.25" top="0.25" bottom="0.25" header="0" footer="0"/>
  <pageSetup orientation="landscape" horizontalDpi="1200" verticalDpi="1200" r:id="rId1"/>
  <headerFooter>
    <oddHeader>&amp;C&amp;G</oddHead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B1:H296"/>
  <sheetViews>
    <sheetView showGridLines="0" view="pageLayout" topLeftCell="A123" zoomScaleNormal="30" zoomScaleSheetLayoutView="55" workbookViewId="0">
      <selection activeCell="H203" sqref="H203"/>
    </sheetView>
  </sheetViews>
  <sheetFormatPr defaultColWidth="9.109375" defaultRowHeight="14.4" x14ac:dyDescent="0.3"/>
  <cols>
    <col min="1" max="1" width="9.88671875" customWidth="1"/>
    <col min="2" max="2" width="101.44140625" customWidth="1"/>
    <col min="3" max="3" width="12.6640625" customWidth="1"/>
    <col min="4" max="4" width="9.6640625" style="163" customWidth="1"/>
    <col min="5" max="5" width="2.5546875" customWidth="1"/>
    <col min="6" max="6" width="5.44140625" customWidth="1"/>
    <col min="7" max="7" width="2.33203125" customWidth="1"/>
    <col min="8" max="8" width="12.6640625" customWidth="1"/>
    <col min="9" max="9" width="7.5546875" customWidth="1"/>
    <col min="10" max="10" width="2.44140625" customWidth="1"/>
    <col min="11" max="12" width="6.44140625" customWidth="1"/>
    <col min="13" max="15" width="12.6640625" customWidth="1"/>
  </cols>
  <sheetData>
    <row r="1" spans="2:8" ht="39" customHeight="1" x14ac:dyDescent="0.3">
      <c r="D1" s="184" t="s">
        <v>615</v>
      </c>
    </row>
    <row r="2" spans="2:8" ht="15.75" customHeight="1" x14ac:dyDescent="0.3"/>
    <row r="3" spans="2:8" ht="28.8" x14ac:dyDescent="0.3">
      <c r="B3" s="66" t="s">
        <v>84</v>
      </c>
    </row>
    <row r="4" spans="2:8" x14ac:dyDescent="0.3">
      <c r="E4" s="3"/>
      <c r="F4" s="3"/>
      <c r="G4" s="3"/>
      <c r="H4" s="3"/>
    </row>
    <row r="5" spans="2:8" x14ac:dyDescent="0.3">
      <c r="B5" t="s">
        <v>87</v>
      </c>
      <c r="E5" s="3"/>
      <c r="F5" s="3"/>
      <c r="G5" s="3"/>
      <c r="H5" s="3"/>
    </row>
    <row r="6" spans="2:8" ht="78" customHeight="1" x14ac:dyDescent="0.3">
      <c r="B6" s="67" t="s">
        <v>88</v>
      </c>
      <c r="C6" s="71">
        <f>IF(PreemptionForm!D66="yes",PreemptionForm!$D$61,IF(PreemptionForm!E66="yes",PreemptionForm!$E$61,IF(PreemptionForm!F66="yes",PreemptionForm!$F$61,IF(PreemptionForm!H66="yes",PreemptionForm!$H$61,0))))</f>
        <v>73.5</v>
      </c>
    </row>
    <row r="8" spans="2:8" x14ac:dyDescent="0.3">
      <c r="B8" s="27" t="s">
        <v>85</v>
      </c>
    </row>
    <row r="9" spans="2:8" x14ac:dyDescent="0.3">
      <c r="B9" s="68" t="s">
        <v>527</v>
      </c>
      <c r="C9" s="71">
        <f>PreemptionForm!$E$42+PreemptionForm!$E$44</f>
        <v>0</v>
      </c>
    </row>
    <row r="10" spans="2:8" ht="14.25" customHeight="1" x14ac:dyDescent="0.3"/>
    <row r="11" spans="2:8" ht="14.25" customHeight="1" x14ac:dyDescent="0.3">
      <c r="B11" t="s">
        <v>86</v>
      </c>
    </row>
    <row r="12" spans="2:8" ht="28.8" x14ac:dyDescent="0.3">
      <c r="B12" s="67" t="s">
        <v>528</v>
      </c>
      <c r="C12" s="71">
        <f>PreemptionForm!E46+PreemptionForm!$E$44</f>
        <v>73.5</v>
      </c>
    </row>
    <row r="13" spans="2:8" ht="14.25" customHeight="1" x14ac:dyDescent="0.3"/>
    <row r="14" spans="2:8" ht="246.15" customHeight="1" x14ac:dyDescent="0.3"/>
    <row r="15" spans="2:8" ht="37.5" customHeight="1" x14ac:dyDescent="0.3">
      <c r="D15" s="1" t="str">
        <f xml:space="preserve"> "Page " &amp; 1 &amp; " of 15"</f>
        <v>Page 1 of 15</v>
      </c>
    </row>
    <row r="16" spans="2:8" ht="39" customHeight="1" x14ac:dyDescent="0.3">
      <c r="C16" s="2"/>
      <c r="D16" s="184" t="s">
        <v>615</v>
      </c>
    </row>
    <row r="17" spans="2:4" ht="15.75" customHeight="1" x14ac:dyDescent="0.3">
      <c r="C17" s="2"/>
      <c r="D17" s="184"/>
    </row>
    <row r="18" spans="2:4" ht="14.25" customHeight="1" x14ac:dyDescent="0.3">
      <c r="B18" s="27"/>
    </row>
    <row r="19" spans="2:4" ht="14.25" customHeight="1" x14ac:dyDescent="0.3">
      <c r="B19" s="27" t="s">
        <v>258</v>
      </c>
    </row>
    <row r="20" spans="2:4" ht="28.8" x14ac:dyDescent="0.3">
      <c r="B20" s="67" t="s">
        <v>530</v>
      </c>
    </row>
    <row r="21" spans="2:4" ht="14.25" customHeight="1" x14ac:dyDescent="0.3">
      <c r="B21" s="27"/>
    </row>
    <row r="22" spans="2:4" ht="14.25" customHeight="1" x14ac:dyDescent="0.3">
      <c r="B22" t="s">
        <v>259</v>
      </c>
    </row>
    <row r="23" spans="2:4" ht="28.8" x14ac:dyDescent="0.3">
      <c r="B23" s="67" t="s">
        <v>531</v>
      </c>
    </row>
    <row r="24" spans="2:4" ht="14.25" customHeight="1" x14ac:dyDescent="0.3"/>
    <row r="25" spans="2:4" ht="14.25" customHeight="1" x14ac:dyDescent="0.3">
      <c r="B25" t="s">
        <v>260</v>
      </c>
    </row>
    <row r="26" spans="2:4" x14ac:dyDescent="0.3">
      <c r="B26" s="69" t="s">
        <v>529</v>
      </c>
      <c r="C26" s="74">
        <f>IF(PreemptionForm!E46&gt;0,2+PreemptionForm!E48/20,0)</f>
        <v>2</v>
      </c>
    </row>
    <row r="27" spans="2:4" ht="14.25" customHeight="1" x14ac:dyDescent="0.3">
      <c r="C27" s="11"/>
    </row>
    <row r="28" spans="2:4" ht="14.25" customHeight="1" x14ac:dyDescent="0.3">
      <c r="B28" t="s">
        <v>532</v>
      </c>
      <c r="C28" s="11"/>
    </row>
    <row r="29" spans="2:4" ht="28.8" x14ac:dyDescent="0.3">
      <c r="B29" s="206" t="s">
        <v>215</v>
      </c>
      <c r="C29" s="77"/>
    </row>
    <row r="30" spans="2:4" ht="43.2" x14ac:dyDescent="0.3">
      <c r="B30" s="78" t="s">
        <v>152</v>
      </c>
      <c r="C30" s="79"/>
    </row>
    <row r="31" spans="2:4" x14ac:dyDescent="0.3">
      <c r="B31" s="70" t="s">
        <v>89</v>
      </c>
      <c r="C31" s="74">
        <f>IF(PreemptionForm!$E$50&lt;=400,IF(NOT((PreemptionForm!$E$44+PreemptionForm!$D$61)=ROUNDDOWN((PreemptionForm!$E$44+PreemptionForm!$D$61),-1)),(((PreemptionForm!$E$44+PreemptionForm!$D$61)-ROUNDDOWN((PreemptionForm!$E$44+PreemptionForm!$D$61),-1))*(LOOKUP(ROUNDUP((PreemptionForm!$E$44+PreemptionForm!$D$61),-1),'Accel Table'!$B:$B,'Accel Table'!C:C)-LOOKUP(ROUNDDOWN((PreemptionForm!$E$44+PreemptionForm!$D$61),-1),'Accel Table'!$B:$B,'Accel Table'!C:C)))/((ROUNDUP((PreemptionForm!$E$44+PreemptionForm!$D$61),-1)-ROUNDDOWN((PreemptionForm!$E$44+PreemptionForm!$D$61),-1)))+LOOKUP(ROUNDDOWN((PreemptionForm!$E$44+PreemptionForm!$D$61),-1),'Accel Table'!$B:$B,'Accel Table'!C:C),LOOKUP((PreemptionForm!$E$44+PreemptionForm!$D$61),'Accel Table'!$B:$B,'Accel Table'!C:C)),"N/A")</f>
        <v>2.5300000000000002</v>
      </c>
    </row>
    <row r="32" spans="2:4" x14ac:dyDescent="0.3">
      <c r="B32" s="72" t="s">
        <v>90</v>
      </c>
      <c r="C32" s="74">
        <f>IF(PreemptionForm!$E$50&lt;=400,IF(NOT((PreemptionForm!$E$44+PreemptionForm!$E$61)=ROUNDDOWN((PreemptionForm!$E$44+PreemptionForm!$E$61),-1)),(((PreemptionForm!$E$44+PreemptionForm!$E$61)-ROUNDDOWN((PreemptionForm!$E$44+PreemptionForm!$E$61),-1))*(LOOKUP(ROUNDUP((PreemptionForm!$E$44+PreemptionForm!$E$61),-1),'Accel Table'!$B:$B,'Accel Table'!D:D)-LOOKUP(ROUNDDOWN((PreemptionForm!$E$44+PreemptionForm!$E$61),-1),'Accel Table'!$B:$B,'Accel Table'!D:D)))/((ROUNDUP((PreemptionForm!$E$44+PreemptionForm!$E$61),-1)-ROUNDDOWN((PreemptionForm!$E$44+PreemptionForm!$E$61),-1)))+LOOKUP(ROUNDDOWN((PreemptionForm!$E$44+PreemptionForm!$E$61),-1),'Accel Table'!$B:$B,'Accel Table'!D:D),LOOKUP((PreemptionForm!$E$44+PreemptionForm!$E$61),'Accel Table'!$B:$B,'Accel Table'!D:D)),"N/A")</f>
        <v>3.7</v>
      </c>
    </row>
    <row r="33" spans="2:4" ht="14.25" customHeight="1" x14ac:dyDescent="0.3">
      <c r="B33" s="73" t="s">
        <v>91</v>
      </c>
      <c r="C33" s="74">
        <f>IF(PreemptionForm!$E$50&lt;=400,IF(NOT((PreemptionForm!$E$44+PreemptionForm!$F$61)=ROUNDDOWN((PreemptionForm!$E$44+PreemptionForm!$F$61),-1)),(((PreemptionForm!$E$44+PreemptionForm!$F$61)-ROUNDDOWN((PreemptionForm!$E$44+PreemptionForm!$F$61),-1))*(LOOKUP(ROUNDUP((PreemptionForm!$E$44+PreemptionForm!$F$61),-1),'Accel Table'!$B:$B,'Accel Table'!E:E)-LOOKUP(ROUNDDOWN((PreemptionForm!$E$44+PreemptionForm!$F$61),-1),'Accel Table'!$B:$B,'Accel Table'!E:E)))/((ROUNDUP((PreemptionForm!$E$44+PreemptionForm!$F$61),-1)-ROUNDDOWN((PreemptionForm!$E$44+PreemptionForm!$F$61),-1)))+LOOKUP(ROUNDDOWN((PreemptionForm!$E$44+PreemptionForm!$F$61),-1),'Accel Table'!$B:$B,'Accel Table'!E:E),LOOKUP((PreemptionForm!$E$44+PreemptionForm!$F$61),'Accel Table'!$B:$B,'Accel Table'!E:E)),"N/A")</f>
        <v>5.34</v>
      </c>
    </row>
    <row r="34" spans="2:4" ht="14.25" customHeight="1" x14ac:dyDescent="0.3">
      <c r="B34" s="73" t="s">
        <v>92</v>
      </c>
      <c r="C34" s="74">
        <f>IF(PreemptionForm!$E$50&lt;=400,IF(NOT((PreemptionForm!$E$44+PreemptionForm!$H$61)=ROUNDDOWN((PreemptionForm!$E$44+PreemptionForm!$H$61),-1)),(((PreemptionForm!$E$44+PreemptionForm!$H$61)-ROUNDDOWN((PreemptionForm!$E$44+PreemptionForm!$H$61),-1))*(LOOKUP(ROUNDUP((PreemptionForm!$E$44+PreemptionForm!$H$61),-1),'Accel Table'!$B:$B,'Accel Table'!F:F)-LOOKUP(ROUNDDOWN((PreemptionForm!$E$44+PreemptionForm!$H$61),-1),'Accel Table'!$B:$B,'Accel Table'!F:F)))/((ROUNDUP((PreemptionForm!$E$44+PreemptionForm!$H$61),-1)-ROUNDDOWN((PreemptionForm!$E$44+PreemptionForm!$H$61),-1)))+LOOKUP(ROUNDDOWN((PreemptionForm!$E$44+PreemptionForm!$H$61),-1),'Accel Table'!$B:$B,'Accel Table'!F:F),LOOKUP((PreemptionForm!$E$44+PreemptionForm!$H$61),'Accel Table'!$B:$B,'Accel Table'!F:F)),"N/A")</f>
        <v>11.45</v>
      </c>
    </row>
    <row r="35" spans="2:4" ht="216.75" customHeight="1" x14ac:dyDescent="0.3">
      <c r="C35" s="2"/>
      <c r="D35" s="1" t="s">
        <v>562</v>
      </c>
    </row>
    <row r="36" spans="2:4" ht="39" customHeight="1" x14ac:dyDescent="0.3">
      <c r="C36" s="2"/>
      <c r="D36" s="184" t="s">
        <v>615</v>
      </c>
    </row>
    <row r="37" spans="2:4" ht="15.75" customHeight="1" x14ac:dyDescent="0.3">
      <c r="C37" s="2"/>
      <c r="D37" s="1"/>
    </row>
    <row r="38" spans="2:4" ht="300" customHeight="1" x14ac:dyDescent="0.3">
      <c r="B38" s="170"/>
      <c r="C38" s="6"/>
    </row>
    <row r="39" spans="2:4" ht="43.2" x14ac:dyDescent="0.3">
      <c r="B39" s="78" t="s">
        <v>153</v>
      </c>
      <c r="C39" s="8"/>
    </row>
    <row r="40" spans="2:4" x14ac:dyDescent="0.3">
      <c r="B40" s="73" t="s">
        <v>94</v>
      </c>
      <c r="C40" s="74">
        <f>C31</f>
        <v>2.5300000000000002</v>
      </c>
    </row>
    <row r="41" spans="2:4" x14ac:dyDescent="0.3">
      <c r="B41" s="73" t="s">
        <v>95</v>
      </c>
      <c r="C41" s="75">
        <f>IF(C32="N/A","N/A",C32*VLOOKUP(CEILING(PreemptionForm!$E$61+PreemptionForm!$E$44,25),'Grade Table&lt;400'!$B$4:$G$23,(EVEN(PreemptionForm!$I$44))/2+2))</f>
        <v>3.7</v>
      </c>
    </row>
    <row r="42" spans="2:4" x14ac:dyDescent="0.3">
      <c r="B42" s="73" t="s">
        <v>96</v>
      </c>
      <c r="C42" s="74">
        <f>IF(C33="N/A","N/A",C33*VLOOKUP(CEILING(PreemptionForm!$F$61+PreemptionForm!$E$44,25),'Grade Table&lt;400'!$B$27:$G$44,(EVEN(PreemptionForm!$I$44))/2+2))</f>
        <v>5.34</v>
      </c>
    </row>
    <row r="43" spans="2:4" x14ac:dyDescent="0.3">
      <c r="B43" s="73" t="s">
        <v>97</v>
      </c>
      <c r="C43" s="74">
        <f>IF($C$34="N/A","N/A",$C$34*VLOOKUP(CEILING(PreemptionForm!$H$61+PreemptionForm!$E$44,25),'Grade Table&lt;400'!$B$50:G67,(EVEN(PreemptionForm!$I$44))/2+2))</f>
        <v>11.45</v>
      </c>
    </row>
    <row r="44" spans="2:4" ht="104.4" customHeight="1" x14ac:dyDescent="0.3">
      <c r="B44" s="110"/>
      <c r="C44" s="169"/>
    </row>
    <row r="45" spans="2:4" ht="30" customHeight="1" x14ac:dyDescent="0.3">
      <c r="D45" s="1" t="s">
        <v>563</v>
      </c>
    </row>
    <row r="46" spans="2:4" ht="39" customHeight="1" x14ac:dyDescent="0.3">
      <c r="D46" s="184" t="s">
        <v>615</v>
      </c>
    </row>
    <row r="47" spans="2:4" ht="15.75" customHeight="1" x14ac:dyDescent="0.3">
      <c r="D47" s="1"/>
    </row>
    <row r="48" spans="2:4" ht="300" customHeight="1" x14ac:dyDescent="0.3">
      <c r="B48" s="170"/>
      <c r="C48" s="6"/>
    </row>
    <row r="49" spans="2:4" ht="28.8" x14ac:dyDescent="0.3">
      <c r="B49" s="78" t="s">
        <v>154</v>
      </c>
      <c r="C49" s="8"/>
    </row>
    <row r="50" spans="2:4" ht="55.5" customHeight="1" x14ac:dyDescent="0.3">
      <c r="B50" s="84"/>
      <c r="C50" s="8"/>
    </row>
    <row r="51" spans="2:4" x14ac:dyDescent="0.3">
      <c r="B51" s="84" t="s">
        <v>98</v>
      </c>
      <c r="C51" s="8"/>
    </row>
    <row r="52" spans="2:4" x14ac:dyDescent="0.3">
      <c r="B52" s="84" t="s">
        <v>99</v>
      </c>
      <c r="C52" s="8"/>
    </row>
    <row r="53" spans="2:4" x14ac:dyDescent="0.3">
      <c r="B53" s="84" t="s">
        <v>100</v>
      </c>
      <c r="C53" s="8"/>
    </row>
    <row r="54" spans="2:4" x14ac:dyDescent="0.3">
      <c r="B54" s="84"/>
      <c r="C54" s="8"/>
    </row>
    <row r="55" spans="2:4" ht="28.8" x14ac:dyDescent="0.3">
      <c r="B55" s="85" t="s">
        <v>101</v>
      </c>
      <c r="C55" s="8"/>
    </row>
    <row r="56" spans="2:4" x14ac:dyDescent="0.3">
      <c r="B56" s="171" t="s">
        <v>103</v>
      </c>
      <c r="C56" s="172" t="str">
        <f>IF(PreemptionForm!$D$61+PreemptionForm!$E$44&gt;400,EXP(1)^(VLOOKUP(PreemptionForm!$I$44,'Grade Table&gt;400'!$C$4:$G$4,2)-VLOOKUP(PreemptionForm!$I$44,'Grade Table&gt;400'!$C$4:$G$4,3)*SQRT(VLOOKUP(PreemptionForm!$I$44,'Grade Table&gt;400'!$C$4:$G$4,4)+2/VLOOKUP(PreemptionForm!$I$44,'Grade Table&gt;400'!$C$4:$G$4,3)*LN(VLOOKUP(PreemptionForm!$I$44,'Grade Table&gt;400'!$C$4:$G$4,5)/(PreemptionForm!$D$61+PreemptionForm!$E$44)))),"N/A")</f>
        <v>N/A</v>
      </c>
    </row>
    <row r="57" spans="2:4" ht="18.899999999999999" customHeight="1" x14ac:dyDescent="0.3">
      <c r="B57" s="173"/>
      <c r="C57" s="174"/>
    </row>
    <row r="58" spans="2:4" ht="30" customHeight="1" x14ac:dyDescent="0.3">
      <c r="B58" s="110"/>
      <c r="C58" s="169"/>
      <c r="D58" s="1" t="s">
        <v>602</v>
      </c>
    </row>
    <row r="59" spans="2:4" ht="39" customHeight="1" x14ac:dyDescent="0.3">
      <c r="B59" s="110"/>
      <c r="C59" s="169"/>
      <c r="D59" s="184" t="s">
        <v>615</v>
      </c>
    </row>
    <row r="60" spans="2:4" ht="15.75" customHeight="1" x14ac:dyDescent="0.3">
      <c r="B60" s="110"/>
      <c r="C60" s="169"/>
      <c r="D60" s="1"/>
    </row>
    <row r="61" spans="2:4" x14ac:dyDescent="0.3">
      <c r="B61" s="175" t="s">
        <v>104</v>
      </c>
      <c r="C61" s="176"/>
    </row>
    <row r="62" spans="2:4" x14ac:dyDescent="0.3">
      <c r="B62" s="82" t="s">
        <v>105</v>
      </c>
      <c r="C62" s="74" t="str">
        <f>IF(PreemptionForm!$E$61+PreemptionForm!$E$44&gt;400,EXP(1)^(VLOOKUP(PreemptionForm!$I$44,'Grade Table&gt;400'!$C$5:$G$9,2)-VLOOKUP(PreemptionForm!$I$44,'Grade Table&gt;400'!$C$5:$G$9,3)*SQRT(VLOOKUP(PreemptionForm!$I$44,'Grade Table&gt;400'!$C$5:$G$9,4)+2/VLOOKUP(PreemptionForm!$I$44,'Grade Table&gt;400'!$C$5:$G$9,3)*LN(VLOOKUP(PreemptionForm!$I$44,'Grade Table&gt;400'!$C$5:$G$9,5)/(PreemptionForm!$E$61+PreemptionForm!$E$44)))),"N/A")</f>
        <v>N/A</v>
      </c>
    </row>
    <row r="63" spans="2:4" x14ac:dyDescent="0.3">
      <c r="B63" s="82" t="s">
        <v>106</v>
      </c>
      <c r="C63" s="74" t="str">
        <f>IF(PreemptionForm!$E$61+PreemptionForm!$E$44&gt;400,EXP(1)^(VLOOKUP(EVEN(PreemptionForm!$I$44),'Grade Table&gt;400'!$C$5:$G$9,2)-VLOOKUP(EVEN(PreemptionForm!$I$44),'Grade Table&gt;400'!$C$5:$G$9,3)*SQRT(VLOOKUP(EVEN(PreemptionForm!$I$44),'Grade Table&gt;400'!$C$5:$G$9,4)+2/VLOOKUP(EVEN(PreemptionForm!$I$44),'Grade Table&gt;400'!$C$5:$G$9,3)*LN(VLOOKUP(EVEN(PreemptionForm!$I$44),'Grade Table&gt;400'!$C$5:$G$9,5)/(PreemptionForm!$E$61+PreemptionForm!$E$44)))),"N/A")</f>
        <v>N/A</v>
      </c>
    </row>
    <row r="64" spans="2:4" x14ac:dyDescent="0.3">
      <c r="B64" s="83" t="s">
        <v>107</v>
      </c>
      <c r="C64" s="74" t="str">
        <f>IF(PreemptionForm!$I$44=0,'Calculation Summary'!C62,IF(PreemptionForm!$E$61+PreemptionForm!$E$44&gt;400,C62+(PreemptionForm!$I$44-VLOOKUP(PreemptionForm!$I$44,'Grade Table&gt;400'!$C$5:$G$9,1))*(C63-C62)/(VLOOKUP(EVEN(PreemptionForm!$I$44),'Grade Table&gt;400'!$C$5:$G$9,1)-VLOOKUP(PreemptionForm!$I$44,'Grade Table&gt;400'!$C$5:$G$9,1)),"N/A"))</f>
        <v>N/A</v>
      </c>
    </row>
    <row r="65" spans="2:3" x14ac:dyDescent="0.3">
      <c r="B65" s="84" t="s">
        <v>108</v>
      </c>
      <c r="C65" s="8"/>
    </row>
    <row r="66" spans="2:3" x14ac:dyDescent="0.3">
      <c r="B66" s="82" t="s">
        <v>109</v>
      </c>
      <c r="C66" s="74" t="str">
        <f>IF(PreemptionForm!$F$61+PreemptionForm!$E$44&gt;400,EXP(1)^(VLOOKUP(PreemptionForm!$I$44,'Grade Table&gt;400'!$C$10:$G$15,2)-VLOOKUP(PreemptionForm!$I$44,'Grade Table&gt;400'!$C$10:$G$15,3)*SQRT(VLOOKUP(PreemptionForm!$I$44,'Grade Table&gt;400'!$C$10:$G$15,4)+2/VLOOKUP(PreemptionForm!$I$44,'Grade Table&gt;400'!$C$10:$G$15,3)*LN(VLOOKUP(PreemptionForm!$I$44,'Grade Table&gt;400'!$C$10:$G$15,5)/(PreemptionForm!$F$61+PreemptionForm!$E$44)))),"N/A")</f>
        <v>N/A</v>
      </c>
    </row>
    <row r="67" spans="2:3" x14ac:dyDescent="0.3">
      <c r="B67" s="82" t="s">
        <v>110</v>
      </c>
      <c r="C67" s="74" t="str">
        <f>IF(PreemptionForm!$F$61+PreemptionForm!$E$44&gt;400,IF(PreemptionForm!$I$44&lt;=1,EXP(1)^(VLOOKUP(PreemptionForm!$I$44,'Grade Table&gt;400'!$C$10:$G$15,2)-VLOOKUP(PreemptionForm!$I$44,'Grade Table&gt;400'!$C$10:$G$15,3)*SQRT(VLOOKUP(PreemptionForm!$I$44,'Grade Table&gt;400'!$C$10:$G$15,4)+2/VLOOKUP(PreemptionForm!$I$44,'Grade Table&gt;400'!$C$10:$G$15,3)*LN(VLOOKUP(PreemptionForm!$I$44,'Grade Table&gt;400'!$C$10:$G$15,5)/(PreemptionForm!$F$61+PreemptionForm!$E$44)))),EXP(1)^(VLOOKUP(EVEN(PreemptionForm!$I$44),'Grade Table&gt;400'!$C$10:$G$15,2)-VLOOKUP(EVEN(PreemptionForm!$I$44),'Grade Table&gt;400'!$C$10:$G$15,3)*SQRT(VLOOKUP(EVEN(PreemptionForm!$I$44),'Grade Table&gt;400'!$C$10:$G$15,4)+2/VLOOKUP(EVEN(PreemptionForm!$I$44),'Grade Table&gt;400'!$C$10:$G$15,3)*LN(VLOOKUP(EVEN(PreemptionForm!$I$44),'Grade Table&gt;400'!$C$10:$G$15,5)/(PreemptionForm!$F$61+PreemptionForm!$E$44))))),"N/A")</f>
        <v>N/A</v>
      </c>
    </row>
    <row r="68" spans="2:3" x14ac:dyDescent="0.3">
      <c r="B68" s="82" t="s">
        <v>111</v>
      </c>
      <c r="C68" s="74" t="str">
        <f>IF(PreemptionForm!$I$44=0,C66,IF(PreemptionForm!$F$61+PreemptionForm!$E$44&gt;400,C66+(PreemptionForm!$I$44-VLOOKUP(PreemptionForm!$I$44,'Grade Table&gt;400'!$C$10:$G$15,1))*(C67-C66)/(VLOOKUP(EVEN(PreemptionForm!$I$44),'Grade Table&gt;400'!$C$10:$G$15,1)-VLOOKUP(PreemptionForm!$I$44,'Grade Table&gt;400'!$C$10:$G$15,1)),"N/A"))</f>
        <v>N/A</v>
      </c>
    </row>
    <row r="69" spans="2:3" x14ac:dyDescent="0.3">
      <c r="B69" s="84" t="s">
        <v>112</v>
      </c>
      <c r="C69" s="8"/>
    </row>
    <row r="70" spans="2:3" x14ac:dyDescent="0.3">
      <c r="B70" s="82" t="s">
        <v>113</v>
      </c>
      <c r="C70" s="74" t="str">
        <f>IF(PreemptionForm!$H$61+PreemptionForm!$E$44&gt;400,EXP(1)^(VLOOKUP(PreemptionForm!$I$44,'Grade Table&gt;400'!$C$16:$G$20,2)-VLOOKUP(PreemptionForm!$I$44,'Grade Table&gt;400'!$C$16:$G$20,3)*SQRT(VLOOKUP(PreemptionForm!$I$44,'Grade Table&gt;400'!$C$16:$G$20,4)+2/VLOOKUP(PreemptionForm!$I$44,'Grade Table&gt;400'!$C$16:$G$20,3)*LN(VLOOKUP(PreemptionForm!$I$44,'Grade Table&gt;400'!$C$16:$G$20,5)/(PreemptionForm!$H$61+PreemptionForm!$E$44)))),"N/A")</f>
        <v>N/A</v>
      </c>
    </row>
    <row r="71" spans="2:3" x14ac:dyDescent="0.3">
      <c r="B71" s="82" t="s">
        <v>114</v>
      </c>
      <c r="C71" s="74" t="str">
        <f>IF(PreemptionForm!$H$61+PreemptionForm!$E$44&gt;400,EXP(1)^(VLOOKUP(EVEN(PreemptionForm!$I$44),'Grade Table&gt;400'!$C$16:$G$20,2)-VLOOKUP(EVEN(PreemptionForm!$I$44),'Grade Table&gt;400'!$C$16:$G$20,3)*SQRT(VLOOKUP(EVEN(PreemptionForm!$I$44),'Grade Table&gt;400'!$C$16:$G$20,4)+2/VLOOKUP(EVEN(PreemptionForm!$I$44),'Grade Table&gt;400'!$C$16:$G$20,3)*LN(VLOOKUP(EVEN(PreemptionForm!$I$44),'Grade Table&gt;400'!$C$16:$G$20,5)/(PreemptionForm!$H$61+PreemptionForm!$E$44)))),"N/A")</f>
        <v>N/A</v>
      </c>
    </row>
    <row r="72" spans="2:3" x14ac:dyDescent="0.3">
      <c r="B72" s="82" t="s">
        <v>111</v>
      </c>
      <c r="C72" s="74" t="str">
        <f>IF(PreemptionForm!$I$44=0,C70,IF(PreemptionForm!$H$61+PreemptionForm!$E$44&gt;400,C70+(PreemptionForm!$I$44-VLOOKUP(PreemptionForm!$I$44,'Grade Table&gt;400'!$C$16:$G$20,1))*(C71-C70)/(VLOOKUP(EVEN(PreemptionForm!$I$44),'Grade Table&gt;400'!$C$16:$G$20,1)-VLOOKUP(PreemptionForm!$I$44,'Grade Table&gt;400'!$C$16:$G$20,1)),"N/A"))</f>
        <v>N/A</v>
      </c>
    </row>
    <row r="73" spans="2:3" x14ac:dyDescent="0.3">
      <c r="B73" s="100"/>
      <c r="C73" s="103"/>
    </row>
    <row r="74" spans="2:3" x14ac:dyDescent="0.3">
      <c r="B74" t="s">
        <v>196</v>
      </c>
    </row>
    <row r="75" spans="2:3" ht="28.8" x14ac:dyDescent="0.3">
      <c r="B75" s="206" t="s">
        <v>535</v>
      </c>
      <c r="C75" s="6"/>
    </row>
    <row r="76" spans="2:3" x14ac:dyDescent="0.3">
      <c r="B76" s="101" t="s">
        <v>155</v>
      </c>
      <c r="C76" s="74">
        <f>PreemptionForm!D63+PreemptionForm!D64</f>
        <v>4.5</v>
      </c>
    </row>
    <row r="77" spans="2:3" x14ac:dyDescent="0.3">
      <c r="B77" s="101" t="s">
        <v>156</v>
      </c>
      <c r="C77" s="74">
        <f>PreemptionForm!E63+PreemptionForm!E64</f>
        <v>5.7</v>
      </c>
    </row>
    <row r="78" spans="2:3" x14ac:dyDescent="0.3">
      <c r="B78" s="101" t="s">
        <v>157</v>
      </c>
      <c r="C78" s="102">
        <f>PreemptionForm!F63+PreemptionForm!F64</f>
        <v>7.3</v>
      </c>
    </row>
    <row r="79" spans="2:3" x14ac:dyDescent="0.3">
      <c r="B79" s="101" t="s">
        <v>524</v>
      </c>
      <c r="C79" s="102">
        <f>PreemptionForm!H63+PreemptionForm!H64</f>
        <v>13.5</v>
      </c>
    </row>
    <row r="80" spans="2:3" ht="4.5" customHeight="1" x14ac:dyDescent="0.3"/>
    <row r="81" spans="2:4" x14ac:dyDescent="0.3">
      <c r="B81" s="27" t="s">
        <v>261</v>
      </c>
    </row>
    <row r="82" spans="2:4" x14ac:dyDescent="0.3">
      <c r="B82" s="68" t="s">
        <v>534</v>
      </c>
      <c r="C82" s="71">
        <f>PreemptionForm!F70+PreemptionForm!F72</f>
        <v>0</v>
      </c>
    </row>
    <row r="83" spans="2:4" ht="3.75" customHeight="1" x14ac:dyDescent="0.3"/>
    <row r="84" spans="2:4" ht="14.25" customHeight="1" x14ac:dyDescent="0.3">
      <c r="B84" t="s">
        <v>262</v>
      </c>
    </row>
    <row r="85" spans="2:4" ht="30" customHeight="1" x14ac:dyDescent="0.3">
      <c r="B85" s="265" t="s">
        <v>533</v>
      </c>
      <c r="C85" s="71">
        <f>SUM(PreemptionForm!F82,PreemptionForm!F84,PreemptionForm!F86)</f>
        <v>0</v>
      </c>
    </row>
    <row r="86" spans="2:4" ht="5.25" customHeight="1" x14ac:dyDescent="0.3"/>
    <row r="87" spans="2:4" ht="18" customHeight="1" x14ac:dyDescent="0.3">
      <c r="B87" t="s">
        <v>159</v>
      </c>
    </row>
    <row r="88" spans="2:4" ht="49.5" customHeight="1" x14ac:dyDescent="0.3">
      <c r="B88" s="67" t="s">
        <v>536</v>
      </c>
      <c r="C88" s="71">
        <f>SUM(PreemptionForm!F93,PreemptionForm!F95,PreemptionForm!F97,PreemptionForm!F99)</f>
        <v>0</v>
      </c>
    </row>
    <row r="89" spans="2:4" ht="7.5" customHeight="1" x14ac:dyDescent="0.3">
      <c r="D89" s="184"/>
    </row>
    <row r="90" spans="2:4" ht="12.75" customHeight="1" x14ac:dyDescent="0.3">
      <c r="B90" t="s">
        <v>158</v>
      </c>
    </row>
    <row r="91" spans="2:4" ht="29.25" customHeight="1" x14ac:dyDescent="0.3">
      <c r="B91" s="67" t="s">
        <v>537</v>
      </c>
      <c r="C91" s="71">
        <f>MAX(PreemptionForm!F88,PreemptionForm!F101)</f>
        <v>0</v>
      </c>
    </row>
    <row r="92" spans="2:4" ht="35.1" customHeight="1" x14ac:dyDescent="0.3">
      <c r="D92" s="1" t="s">
        <v>564</v>
      </c>
    </row>
    <row r="93" spans="2:4" ht="39" customHeight="1" x14ac:dyDescent="0.3">
      <c r="D93" s="184" t="s">
        <v>615</v>
      </c>
    </row>
    <row r="95" spans="2:4" x14ac:dyDescent="0.3">
      <c r="B95" t="s">
        <v>160</v>
      </c>
    </row>
    <row r="96" spans="2:4" ht="28.8" x14ac:dyDescent="0.3">
      <c r="B96" s="67" t="s">
        <v>538</v>
      </c>
      <c r="C96" s="71">
        <f>PreemptionForm!F74+PreemptionForm!F107</f>
        <v>0</v>
      </c>
    </row>
    <row r="97" spans="2:4" ht="7.5" customHeight="1" x14ac:dyDescent="0.3">
      <c r="D97" s="1"/>
    </row>
    <row r="98" spans="2:4" x14ac:dyDescent="0.3">
      <c r="B98" t="s">
        <v>161</v>
      </c>
    </row>
    <row r="99" spans="2:4" ht="28.8" x14ac:dyDescent="0.3">
      <c r="B99" s="67" t="s">
        <v>539</v>
      </c>
      <c r="C99" s="74">
        <f>ROUNDUP(IF(PreemptionForm!D66="yes",PreemptionForm!D65,IF(PreemptionForm!E66="yes",PreemptionForm!E65,IF(PreemptionForm!F66="yes",PreemptionForm!F65,IF(PreemptionForm!H66="yes",PreemptionForm!H65,0)))),-0.1)</f>
        <v>14</v>
      </c>
    </row>
    <row r="100" spans="2:4" ht="7.5" customHeight="1" x14ac:dyDescent="0.3">
      <c r="B100" s="205"/>
      <c r="C100" s="103"/>
    </row>
    <row r="101" spans="2:4" x14ac:dyDescent="0.3">
      <c r="B101" t="s">
        <v>263</v>
      </c>
    </row>
    <row r="102" spans="2:4" ht="57.6" x14ac:dyDescent="0.3">
      <c r="B102" s="203" t="s">
        <v>526</v>
      </c>
      <c r="C102" s="74">
        <f>PreemptionForm!F111</f>
        <v>14</v>
      </c>
    </row>
    <row r="103" spans="2:4" ht="7.5" customHeight="1" x14ac:dyDescent="0.3"/>
    <row r="104" spans="2:4" x14ac:dyDescent="0.3">
      <c r="B104" t="s">
        <v>264</v>
      </c>
    </row>
    <row r="105" spans="2:4" ht="28.8" x14ac:dyDescent="0.3">
      <c r="B105" s="67" t="s">
        <v>540</v>
      </c>
      <c r="C105" s="75">
        <f>SUM(PreemptionForm!F107,PreemptionForm!F109,PreemptionForm!F113,'(OPTION) App-Con Veh Time'!E32)</f>
        <v>34</v>
      </c>
    </row>
    <row r="106" spans="2:4" ht="5.25" customHeight="1" x14ac:dyDescent="0.3"/>
    <row r="107" spans="2:4" x14ac:dyDescent="0.3">
      <c r="B107" t="s">
        <v>265</v>
      </c>
    </row>
    <row r="108" spans="2:4" x14ac:dyDescent="0.3">
      <c r="B108" s="76" t="s">
        <v>162</v>
      </c>
      <c r="C108" s="6"/>
    </row>
    <row r="109" spans="2:4" ht="27" customHeight="1" x14ac:dyDescent="0.3">
      <c r="B109" s="80"/>
      <c r="C109" s="8"/>
    </row>
    <row r="110" spans="2:4" x14ac:dyDescent="0.3">
      <c r="B110" s="104" t="s">
        <v>163</v>
      </c>
      <c r="C110" s="8"/>
    </row>
    <row r="111" spans="2:4" x14ac:dyDescent="0.3">
      <c r="B111" s="104" t="s">
        <v>164</v>
      </c>
      <c r="C111" s="8"/>
    </row>
    <row r="112" spans="2:4" x14ac:dyDescent="0.3">
      <c r="B112" s="68" t="s">
        <v>165</v>
      </c>
      <c r="C112" s="71">
        <f>IF(PreemptionForm!$E$44-35 &gt;0,ROUNDUP((PreemptionForm!$E$44-35)*0.1,-0.1),0)</f>
        <v>0</v>
      </c>
    </row>
    <row r="113" spans="2:4" ht="7.5" customHeight="1" x14ac:dyDescent="0.3"/>
    <row r="114" spans="2:4" x14ac:dyDescent="0.3">
      <c r="B114" t="s">
        <v>266</v>
      </c>
    </row>
    <row r="115" spans="2:4" x14ac:dyDescent="0.3">
      <c r="B115" s="68" t="s">
        <v>541</v>
      </c>
      <c r="C115" s="71">
        <f>PreemptionForm!F127+PreemptionForm!F129</f>
        <v>20</v>
      </c>
    </row>
    <row r="116" spans="2:4" ht="9.75" customHeight="1" x14ac:dyDescent="0.3">
      <c r="B116" s="177"/>
      <c r="C116" s="51"/>
    </row>
    <row r="117" spans="2:4" x14ac:dyDescent="0.3">
      <c r="B117" t="s">
        <v>431</v>
      </c>
    </row>
    <row r="118" spans="2:4" x14ac:dyDescent="0.3">
      <c r="B118" s="68" t="s">
        <v>543</v>
      </c>
      <c r="C118" s="71">
        <f>SUM(PreemptionForm!F128,PreemptionForm!F130,PreemptionForm!F140)</f>
        <v>14</v>
      </c>
    </row>
    <row r="119" spans="2:4" ht="12" customHeight="1" x14ac:dyDescent="0.3"/>
    <row r="120" spans="2:4" x14ac:dyDescent="0.3">
      <c r="B120" t="s">
        <v>542</v>
      </c>
    </row>
    <row r="121" spans="2:4" ht="28.8" x14ac:dyDescent="0.3">
      <c r="B121" s="67" t="s">
        <v>544</v>
      </c>
      <c r="C121" s="71">
        <f>SUM(PreemptionForm!F131,PreemptionForm!F133,PreemptionForm!F143)</f>
        <v>30</v>
      </c>
    </row>
    <row r="122" spans="2:4" ht="36.75" customHeight="1" x14ac:dyDescent="0.3">
      <c r="D122" s="1" t="s">
        <v>565</v>
      </c>
    </row>
    <row r="123" spans="2:4" ht="39" customHeight="1" x14ac:dyDescent="0.3">
      <c r="D123" s="184" t="s">
        <v>615</v>
      </c>
    </row>
    <row r="124" spans="2:4" ht="15" customHeight="1" x14ac:dyDescent="0.3">
      <c r="D124" s="183"/>
    </row>
    <row r="125" spans="2:4" ht="15.75" customHeight="1" x14ac:dyDescent="0.3">
      <c r="D125" s="1"/>
    </row>
    <row r="126" spans="2:4" x14ac:dyDescent="0.3">
      <c r="B126" s="106" t="s">
        <v>267</v>
      </c>
    </row>
    <row r="127" spans="2:4" ht="28.8" x14ac:dyDescent="0.3">
      <c r="B127" s="67" t="s">
        <v>545</v>
      </c>
      <c r="C127" s="107">
        <f>PreemptionForm!F135+PreemptionForm!F140</f>
        <v>39</v>
      </c>
    </row>
    <row r="130" spans="2:3" x14ac:dyDescent="0.3">
      <c r="B130" t="s">
        <v>268</v>
      </c>
    </row>
    <row r="131" spans="2:3" x14ac:dyDescent="0.3">
      <c r="B131" s="76" t="s">
        <v>167</v>
      </c>
      <c r="C131" s="109"/>
    </row>
    <row r="132" spans="2:3" x14ac:dyDescent="0.3">
      <c r="B132" s="68" t="s">
        <v>168</v>
      </c>
      <c r="C132" s="74" t="str">
        <f>IF(AND('(OPTION) App-Con Veh Time'!E18="yes",PreemptionForm!D66="yes"),2.46+(0.5483*('(OPTION) App-Con Veh Time'!E20)^0.5463),"N/A")</f>
        <v>N/A</v>
      </c>
    </row>
    <row r="133" spans="2:3" ht="40.5" customHeight="1" x14ac:dyDescent="0.3">
      <c r="B133" s="80"/>
      <c r="C133" s="8"/>
    </row>
    <row r="134" spans="2:3" x14ac:dyDescent="0.3">
      <c r="B134" s="68" t="s">
        <v>169</v>
      </c>
      <c r="C134" s="74" t="str">
        <f>IF(AND('(OPTION) App-Con Veh Time'!E18="yes",PreemptionForm!E66="yes"),2.48+(0.6026*('(OPTION) App-Con Veh Time'!E20)^0.5474),"N/A")</f>
        <v>N/A</v>
      </c>
    </row>
    <row r="135" spans="2:3" ht="40.5" customHeight="1" x14ac:dyDescent="0.3">
      <c r="B135" s="80"/>
      <c r="C135" s="8"/>
    </row>
    <row r="136" spans="2:3" x14ac:dyDescent="0.3">
      <c r="B136" s="68" t="s">
        <v>170</v>
      </c>
      <c r="C136" s="74" t="str">
        <f>IF(C134="N/A","N/A",C134*VLOOKUP(CEILING('(OPTION) App-Con Veh Time'!E20,25),'Grade Table&lt;400'!$B$4:$G$23,(EVEN(PreemptionForm!I52))/2+2))</f>
        <v>N/A</v>
      </c>
    </row>
    <row r="137" spans="2:3" x14ac:dyDescent="0.3">
      <c r="B137" s="80"/>
      <c r="C137" s="8"/>
    </row>
    <row r="138" spans="2:3" x14ac:dyDescent="0.3">
      <c r="B138" s="68" t="s">
        <v>171</v>
      </c>
      <c r="C138" s="74" t="str">
        <f>IF(AND('(OPTION) App-Con Veh Time'!E18="yes",PreemptionForm!F66="yes"),2.72+(0.5333*('(OPTION) App-Con Veh Time'!E20)^0.5348),"N/A")</f>
        <v>N/A</v>
      </c>
    </row>
    <row r="139" spans="2:3" ht="40.5" customHeight="1" x14ac:dyDescent="0.3">
      <c r="B139" s="80"/>
      <c r="C139" s="8"/>
    </row>
    <row r="140" spans="2:3" x14ac:dyDescent="0.3">
      <c r="B140" s="68" t="s">
        <v>172</v>
      </c>
      <c r="C140" s="74" t="str">
        <f>IF(C138="N/A","N/A",C138*VLOOKUP(CEILING('(OPTION) App-Con Veh Time'!E20,25),'Grade Table&lt;400'!$B$28:$G$44,(EVEN(PreemptionForm!I52))/2+2))</f>
        <v>N/A</v>
      </c>
    </row>
    <row r="141" spans="2:3" x14ac:dyDescent="0.3">
      <c r="B141" s="80"/>
      <c r="C141" s="8"/>
    </row>
    <row r="142" spans="2:3" x14ac:dyDescent="0.3">
      <c r="B142" s="68" t="s">
        <v>173</v>
      </c>
      <c r="C142" s="74">
        <f>IF(AND('(OPTION) App-Con Veh Time'!E18="yes",PreemptionForm!H66="yes"),3.99+(1.2559*('(OPTION) App-Con Veh Time'!E20)^0.5188),"N/A")</f>
        <v>3.99</v>
      </c>
    </row>
    <row r="143" spans="2:3" ht="40.5" customHeight="1" x14ac:dyDescent="0.3">
      <c r="B143" s="80"/>
      <c r="C143" s="8"/>
    </row>
    <row r="144" spans="2:3" x14ac:dyDescent="0.3">
      <c r="B144" s="68" t="s">
        <v>172</v>
      </c>
      <c r="C144" s="74">
        <f>IF(C142="N/A","N/A",C142*VLOOKUP(CEILING('(OPTION) App-Con Veh Time'!E20,25),'Grade Table&lt;400'!B28:G44,(EVEN(PreemptionForm!I52))/2+2))</f>
        <v>3.99</v>
      </c>
    </row>
    <row r="145" spans="2:4" ht="90.6" customHeight="1" x14ac:dyDescent="0.3"/>
    <row r="146" spans="2:4" ht="32.25" customHeight="1" x14ac:dyDescent="0.3">
      <c r="D146" s="1" t="s">
        <v>566</v>
      </c>
    </row>
    <row r="147" spans="2:4" ht="39" customHeight="1" x14ac:dyDescent="0.3">
      <c r="D147" s="184" t="s">
        <v>615</v>
      </c>
    </row>
    <row r="148" spans="2:4" ht="15.75" customHeight="1" x14ac:dyDescent="0.3">
      <c r="D148" s="1"/>
    </row>
    <row r="149" spans="2:4" x14ac:dyDescent="0.3">
      <c r="B149" t="s">
        <v>269</v>
      </c>
    </row>
    <row r="150" spans="2:4" x14ac:dyDescent="0.3">
      <c r="B150" s="76" t="s">
        <v>167</v>
      </c>
      <c r="C150" s="109"/>
    </row>
    <row r="151" spans="2:4" x14ac:dyDescent="0.3">
      <c r="B151" s="68" t="s">
        <v>168</v>
      </c>
      <c r="C151" s="74" t="str">
        <f>IF(AND('(OPTION) App-Con Veh Time'!E25="yes",PreemptionForm!D66="yes"),2.46+(0.5483*('(OPTION) App-Con Veh Time'!E27+PreemptionForm!E46)^0.5463),"N/A")</f>
        <v>N/A</v>
      </c>
    </row>
    <row r="152" spans="2:4" ht="40.5" customHeight="1" x14ac:dyDescent="0.3">
      <c r="B152" s="80"/>
      <c r="C152" s="8"/>
    </row>
    <row r="153" spans="2:4" x14ac:dyDescent="0.3">
      <c r="B153" s="68" t="s">
        <v>174</v>
      </c>
      <c r="C153" s="74" t="str">
        <f>IF(AND('(OPTION) App-Con Veh Time'!E25="yes",PreemptionForm!E66="yes"),2.48+(0.6026*('(OPTION) App-Con Veh Time'!E27+PreemptionForm!E46)^0.5474),"N/A")</f>
        <v>N/A</v>
      </c>
    </row>
    <row r="154" spans="2:4" ht="40.5" customHeight="1" x14ac:dyDescent="0.3">
      <c r="B154" s="80"/>
      <c r="C154" s="8"/>
    </row>
    <row r="155" spans="2:4" x14ac:dyDescent="0.3">
      <c r="B155" s="68" t="s">
        <v>175</v>
      </c>
      <c r="C155" s="74" t="str">
        <f>IF(C153="N/A","N/A",C153*VLOOKUP(CEILING('(OPTION) App-Con Veh Time'!E27+PreemptionForm!E46,25),'Grade Table&lt;400'!$B$4:$G$23,(EVEN(PreemptionForm!I54))/2+2))</f>
        <v>N/A</v>
      </c>
    </row>
    <row r="156" spans="2:4" x14ac:dyDescent="0.3">
      <c r="B156" s="80"/>
      <c r="C156" s="8"/>
    </row>
    <row r="157" spans="2:4" x14ac:dyDescent="0.3">
      <c r="B157" s="68" t="s">
        <v>171</v>
      </c>
      <c r="C157" s="74" t="str">
        <f>IF(AND('(OPTION) App-Con Veh Time'!E25="yes",PreemptionForm!F66="yes"),2.72+(0.5333*('(OPTION) App-Con Veh Time'!E27+PreemptionForm!E46)^0.5348),"N/A")</f>
        <v>N/A</v>
      </c>
    </row>
    <row r="158" spans="2:4" ht="40.5" customHeight="1" x14ac:dyDescent="0.3">
      <c r="B158" s="80"/>
      <c r="C158" s="8"/>
    </row>
    <row r="159" spans="2:4" x14ac:dyDescent="0.3">
      <c r="B159" s="68" t="s">
        <v>172</v>
      </c>
      <c r="C159" s="74" t="str">
        <f>IF(C157="N/A","N/A",C157*VLOOKUP(CEILING('(OPTION) App-Con Veh Time'!E27+PreemptionForm!E46,25),'Grade Table&lt;400'!$B$27:$G$44,(EVEN(PreemptionForm!I54))/2+2))</f>
        <v>N/A</v>
      </c>
    </row>
    <row r="160" spans="2:4" x14ac:dyDescent="0.3">
      <c r="B160" s="80"/>
      <c r="C160" s="8"/>
    </row>
    <row r="161" spans="2:4" x14ac:dyDescent="0.3">
      <c r="B161" s="68" t="s">
        <v>173</v>
      </c>
      <c r="C161" s="74">
        <f>IF(AND('(OPTION) App-Con Veh Time'!E25="yes",PreemptionForm!H66="yes"),3.99+(1.2559*('(OPTION) App-Con Veh Time'!E27+PreemptionForm!E46)^0.5188),"N/A")</f>
        <v>15.663065755568429</v>
      </c>
    </row>
    <row r="162" spans="2:4" ht="40.5" customHeight="1" x14ac:dyDescent="0.3">
      <c r="B162" s="80"/>
      <c r="C162" s="8"/>
    </row>
    <row r="163" spans="2:4" x14ac:dyDescent="0.3">
      <c r="B163" s="68" t="s">
        <v>172</v>
      </c>
      <c r="C163" s="74">
        <f>IF(C161="N/A","N/A",C161*VLOOKUP(CEILING('(OPTION) App-Con Veh Time'!E27+PreemptionForm!E46,25),'Grade Table&lt;400'!$B$50:G67,(EVEN(PreemptionForm!I54))/2+2))</f>
        <v>15.663065755568429</v>
      </c>
    </row>
    <row r="164" spans="2:4" x14ac:dyDescent="0.3">
      <c r="B164" s="177"/>
      <c r="C164" s="103"/>
    </row>
    <row r="165" spans="2:4" x14ac:dyDescent="0.3">
      <c r="B165" t="s">
        <v>482</v>
      </c>
    </row>
    <row r="166" spans="2:4" ht="28.8" x14ac:dyDescent="0.3">
      <c r="B166" s="67" t="s">
        <v>546</v>
      </c>
      <c r="C166" s="74">
        <f>'(OPTION) App-Con Veh Time'!E32</f>
        <v>16</v>
      </c>
    </row>
    <row r="168" spans="2:4" x14ac:dyDescent="0.3">
      <c r="B168" t="s">
        <v>481</v>
      </c>
    </row>
    <row r="169" spans="2:4" ht="28.8" x14ac:dyDescent="0.3">
      <c r="B169" s="67" t="s">
        <v>547</v>
      </c>
      <c r="C169" s="74" t="str">
        <f>'(OPTION) Veh -Gate Int Time'!E19</f>
        <v>N/A</v>
      </c>
    </row>
    <row r="170" spans="2:4" ht="60.6" customHeight="1" x14ac:dyDescent="0.3">
      <c r="B170" s="177"/>
      <c r="C170" s="169"/>
    </row>
    <row r="171" spans="2:4" ht="32.25" customHeight="1" x14ac:dyDescent="0.3">
      <c r="D171" s="1" t="s">
        <v>567</v>
      </c>
    </row>
    <row r="172" spans="2:4" ht="39" customHeight="1" x14ac:dyDescent="0.3">
      <c r="D172" s="184" t="s">
        <v>615</v>
      </c>
    </row>
    <row r="173" spans="2:4" ht="15.75" customHeight="1" x14ac:dyDescent="0.3">
      <c r="D173" s="1"/>
    </row>
    <row r="174" spans="2:4" ht="15.75" customHeight="1" x14ac:dyDescent="0.3">
      <c r="D174" s="1"/>
    </row>
    <row r="175" spans="2:4" x14ac:dyDescent="0.3">
      <c r="B175" s="27" t="s">
        <v>483</v>
      </c>
    </row>
    <row r="176" spans="2:4" x14ac:dyDescent="0.3">
      <c r="B176" s="76" t="s">
        <v>93</v>
      </c>
      <c r="C176" s="77"/>
    </row>
    <row r="177" spans="2:4" ht="43.2" x14ac:dyDescent="0.3">
      <c r="B177" s="78" t="s">
        <v>176</v>
      </c>
      <c r="C177" s="79"/>
    </row>
    <row r="178" spans="2:4" x14ac:dyDescent="0.3">
      <c r="B178" s="70" t="s">
        <v>89</v>
      </c>
      <c r="C178" s="74" t="str">
        <f>IF('(OPTION) Veh -Gate Int Time'!E17="yes",IF(NOT((PreemptionForm!$D$61)=ROUNDDOWN((PreemptionForm!$D$61),-1)),(((PreemptionForm!$D$61)-ROUNDDOWN((PreemptionForm!$D$61),-1))*(LOOKUP(ROUNDUP((PreemptionForm!$D$61),-1),'Accel Table'!$B:$B,'Accel Table'!C:C)-LOOKUP(ROUNDDOWN((PreemptionForm!$D$61),-1),'Accel Table'!$B:$B,'Accel Table'!C:C)))/((ROUNDUP((PreemptionForm!$D$61),-1)-ROUNDDOWN((PreemptionForm!$D$61),-1)))+LOOKUP(ROUNDDOWN((PreemptionForm!$D$61),-1),'Accel Table'!$B:$B,'Accel Table'!C:C),LOOKUP((PreemptionForm!$D$61),'Accel Table'!$B:$B,'Accel Table'!C:C)),"N/A")</f>
        <v>N/A</v>
      </c>
    </row>
    <row r="179" spans="2:4" x14ac:dyDescent="0.3">
      <c r="B179" s="72" t="s">
        <v>90</v>
      </c>
      <c r="C179" s="74" t="str">
        <f>IF('(OPTION) Veh -Gate Int Time'!E17="yes",IF(NOT((PreemptionForm!$E$61)=ROUNDDOWN((PreemptionForm!$E$61),-1)),(((PreemptionForm!$E$61)-ROUNDDOWN((PreemptionForm!$E$61),-1))*(LOOKUP(ROUNDUP((PreemptionForm!$E$61),-1),'Accel Table'!$B:$B,'Accel Table'!D:D)-LOOKUP(ROUNDDOWN((PreemptionForm!$E$61),-1),'Accel Table'!$B:$B,'Accel Table'!D:D)))/((ROUNDUP((PreemptionForm!$E$61),-1)-ROUNDDOWN((PreemptionForm!$E$61),-1)))+LOOKUP(ROUNDDOWN((PreemptionForm!$E$61),-1),'Accel Table'!$B:$B,'Accel Table'!D:D),LOOKUP((PreemptionForm!$E$61),'Accel Table'!$B:$B,'Accel Table'!D:D)),"N/A")</f>
        <v>N/A</v>
      </c>
    </row>
    <row r="180" spans="2:4" x14ac:dyDescent="0.3">
      <c r="B180" s="73" t="s">
        <v>91</v>
      </c>
      <c r="C180" s="74" t="str">
        <f>IF('(OPTION) Veh -Gate Int Time'!E17="yes",IF(NOT((PreemptionForm!$F$61)=ROUNDDOWN((PreemptionForm!$F$61),-1)),(((PreemptionForm!$F$61)-ROUNDDOWN((PreemptionForm!$F$61),-1))*(LOOKUP(ROUNDUP((PreemptionForm!$F$61),-1),'Accel Table'!$B:$B,'Accel Table'!E:E)-LOOKUP(ROUNDDOWN((PreemptionForm!$F$61),-1),'Accel Table'!$B:$B,'Accel Table'!E:E)))/((ROUNDUP((PreemptionForm!$F$61),-1)-ROUNDDOWN((PreemptionForm!$F$61),-1)))+LOOKUP(ROUNDDOWN((PreemptionForm!$F$61),-1),'Accel Table'!$B:$B,'Accel Table'!E:E),LOOKUP((PreemptionForm!$F$61),'Accel Table'!$B:$B,'Accel Table'!E:E)),"N/A")</f>
        <v>N/A</v>
      </c>
    </row>
    <row r="181" spans="2:4" x14ac:dyDescent="0.3">
      <c r="B181" s="73" t="s">
        <v>92</v>
      </c>
      <c r="C181" s="74" t="str">
        <f>IF('(OPTION) Veh -Gate Int Time'!E17="yes",IF(NOT((PreemptionForm!$H$61)=ROUNDDOWN((PreemptionForm!$H$61),-1)),(((PreemptionForm!$H$61)-ROUNDDOWN((PreemptionForm!$H$61),-1))*(LOOKUP(ROUNDUP((PreemptionForm!$H$61),-1),'Accel Table'!$B:$B,'Accel Table'!F:F)-LOOKUP(ROUNDDOWN((PreemptionForm!$H$61),-1),'Accel Table'!$B:$B,'Accel Table'!F:F)))/((ROUNDUP((PreemptionForm!$H$61),-1)-ROUNDDOWN((PreemptionForm!$H$61),-1)))+LOOKUP(ROUNDDOWN((PreemptionForm!$H$61),-1),'Accel Table'!$B:$B,'Accel Table'!F:F),LOOKUP((PreemptionForm!$H$61),'Accel Table'!$B:$B,'Accel Table'!F:F)),"N/A")</f>
        <v>N/A</v>
      </c>
    </row>
    <row r="182" spans="2:4" ht="305.10000000000002" customHeight="1" x14ac:dyDescent="0.3">
      <c r="B182" s="170"/>
      <c r="C182" s="6"/>
    </row>
    <row r="183" spans="2:4" ht="15" customHeight="1" x14ac:dyDescent="0.3">
      <c r="B183" s="81"/>
      <c r="C183" s="9"/>
    </row>
    <row r="184" spans="2:4" ht="36.15" customHeight="1" x14ac:dyDescent="0.3">
      <c r="B184" s="178"/>
      <c r="C184" s="178"/>
    </row>
    <row r="185" spans="2:4" ht="32.25" customHeight="1" x14ac:dyDescent="0.3">
      <c r="D185" s="1" t="s">
        <v>569</v>
      </c>
    </row>
    <row r="186" spans="2:4" ht="39" customHeight="1" x14ac:dyDescent="0.3">
      <c r="D186" s="184" t="s">
        <v>615</v>
      </c>
    </row>
    <row r="187" spans="2:4" ht="15.75" customHeight="1" x14ac:dyDescent="0.3">
      <c r="B187" s="180"/>
      <c r="C187" s="180"/>
      <c r="D187" s="1"/>
    </row>
    <row r="188" spans="2:4" ht="43.2" x14ac:dyDescent="0.3">
      <c r="B188" s="179" t="s">
        <v>177</v>
      </c>
      <c r="C188" s="9"/>
    </row>
    <row r="189" spans="2:4" x14ac:dyDescent="0.3">
      <c r="B189" s="73" t="s">
        <v>94</v>
      </c>
      <c r="C189" s="74" t="str">
        <f>C178</f>
        <v>N/A</v>
      </c>
    </row>
    <row r="190" spans="2:4" x14ac:dyDescent="0.3">
      <c r="B190" s="73" t="s">
        <v>95</v>
      </c>
      <c r="C190" s="75" t="str">
        <f>IF(C179="N/A","N/A",C179*VLOOKUP(CEILING(PreemptionForm!$E$61,25),'Grade Table&lt;400'!$B$4:$G$23,(EVEN(PreemptionForm!$I$44))/2+2))</f>
        <v>N/A</v>
      </c>
    </row>
    <row r="191" spans="2:4" x14ac:dyDescent="0.3">
      <c r="B191" s="73" t="s">
        <v>96</v>
      </c>
      <c r="C191" s="74" t="str">
        <f>IF(C180="N/A","N/A",C180*VLOOKUP(CEILING(PreemptionForm!$F$61,25),'Grade Table&lt;400'!$B$27:$G$44,(EVEN(PreemptionForm!$I$44))/2+2))</f>
        <v>N/A</v>
      </c>
    </row>
    <row r="192" spans="2:4" x14ac:dyDescent="0.3">
      <c r="B192" s="73" t="s">
        <v>97</v>
      </c>
      <c r="C192" s="74" t="str">
        <f>IF(C181="N/A","N/A",C181*VLOOKUP(CEILING(PreemptionForm!$H$61,25),'Grade Table&lt;400'!$B$50:G67,(EVEN(PreemptionForm!$I$44))/2+2))</f>
        <v>N/A</v>
      </c>
    </row>
    <row r="193" spans="2:4" ht="300" customHeight="1" x14ac:dyDescent="0.3">
      <c r="B193" s="81"/>
      <c r="C193" s="9"/>
    </row>
    <row r="194" spans="2:4" x14ac:dyDescent="0.3">
      <c r="B194" s="105" t="s">
        <v>178</v>
      </c>
      <c r="C194" s="74">
        <f>IF(PreemptionForm!D66="yes",MAX(C178,C189),IF(PreemptionForm!E66="yes",MAX(C179,C190),IF(PreemptionForm!F66="yes",MAX(C180,C191),IF(PreemptionForm!H66="yes",MAX(C181,C192),0))))</f>
        <v>0</v>
      </c>
    </row>
    <row r="195" spans="2:4" ht="15" customHeight="1" x14ac:dyDescent="0.3">
      <c r="B195" s="110"/>
    </row>
    <row r="196" spans="2:4" x14ac:dyDescent="0.3">
      <c r="B196" s="27" t="s">
        <v>484</v>
      </c>
    </row>
    <row r="197" spans="2:4" ht="28.8" x14ac:dyDescent="0.3">
      <c r="B197" s="67" t="s">
        <v>548</v>
      </c>
      <c r="C197" s="74" t="str">
        <f>IF('(OPTION) Veh -Gate Int Time'!E17="yes",PreemptionForm!F107+'(OPTION) Veh -Gate Int Time'!E19+'(OPTION) Veh -Gate Int Time'!E21,"N/A")</f>
        <v>N/A</v>
      </c>
    </row>
    <row r="198" spans="2:4" ht="59.4" customHeight="1" x14ac:dyDescent="0.3">
      <c r="B198" s="110"/>
      <c r="D198" s="1" t="s">
        <v>568</v>
      </c>
    </row>
    <row r="199" spans="2:4" ht="39" customHeight="1" x14ac:dyDescent="0.3">
      <c r="B199" s="110"/>
      <c r="D199" s="184" t="s">
        <v>615</v>
      </c>
    </row>
    <row r="200" spans="2:4" ht="15.75" customHeight="1" x14ac:dyDescent="0.3">
      <c r="B200" s="110"/>
      <c r="D200" s="1"/>
    </row>
    <row r="201" spans="2:4" x14ac:dyDescent="0.3">
      <c r="B201" s="27" t="s">
        <v>485</v>
      </c>
    </row>
    <row r="202" spans="2:4" x14ac:dyDescent="0.3">
      <c r="B202" s="67" t="s">
        <v>550</v>
      </c>
      <c r="C202" s="74">
        <f>PreemptionForm!F123</f>
        <v>0</v>
      </c>
    </row>
    <row r="203" spans="2:4" x14ac:dyDescent="0.3">
      <c r="B203" s="110"/>
      <c r="C203" s="103"/>
    </row>
    <row r="204" spans="2:4" x14ac:dyDescent="0.3">
      <c r="B204" s="27" t="s">
        <v>486</v>
      </c>
    </row>
    <row r="205" spans="2:4" x14ac:dyDescent="0.3">
      <c r="B205" s="68" t="s">
        <v>549</v>
      </c>
      <c r="C205" s="74">
        <f>PreemptionForm!F125</f>
        <v>12</v>
      </c>
    </row>
    <row r="206" spans="2:4" x14ac:dyDescent="0.3">
      <c r="B206" s="177"/>
      <c r="C206" s="169"/>
    </row>
    <row r="207" spans="2:4" x14ac:dyDescent="0.3">
      <c r="B207" s="27" t="s">
        <v>487</v>
      </c>
      <c r="C207" s="103"/>
    </row>
    <row r="208" spans="2:4" ht="57.6" x14ac:dyDescent="0.3">
      <c r="B208" s="113" t="s">
        <v>189</v>
      </c>
      <c r="C208" s="6"/>
    </row>
    <row r="209" spans="2:4" ht="215.1" customHeight="1" x14ac:dyDescent="0.3">
      <c r="B209" s="114"/>
      <c r="C209" s="115"/>
    </row>
    <row r="210" spans="2:4" x14ac:dyDescent="0.3">
      <c r="B210" s="70" t="s">
        <v>89</v>
      </c>
      <c r="C210" s="108" t="str">
        <f>IF('(OPTION) Veh -Gate Int Time'!E17="yes",IF(NOT(('(OPTION) Veh -Gate Int Time'!E29)=ROUNDDOWN(('(OPTION) Veh -Gate Int Time'!E29),-0.1)),((('(OPTION) Veh -Gate Int Time'!E29)-ROUNDDOWN(('(OPTION) Veh -Gate Int Time'!E29),-0.1))*(LOOKUP(ROUNDUP(('(OPTION) Veh -Gate Int Time'!E29),-0.1),'Gate-Interaction Table'!B:B,'Gate-Interaction Table'!C:C)-LOOKUP(ROUNDDOWN(('(OPTION) Veh -Gate Int Time'!E29),-0.1),'Gate-Interaction Table'!B:B,'Gate-Interaction Table'!C:C)))/((ROUNDUP(('(OPTION) Veh -Gate Int Time'!E29),-0.1)-ROUNDDOWN(('(OPTION) Veh -Gate Int Time'!E29),-0.1)))+LOOKUP(ROUNDDOWN(('(OPTION) Veh -Gate Int Time'!E29),-0.1),'Gate-Interaction Table'!B:B,'Gate-Interaction Table'!C:C),LOOKUP(('(OPTION) Veh -Gate Int Time'!E29),'Gate-Interaction Table'!B:B,'Gate-Interaction Table'!C:C)),"N/A")</f>
        <v>N/A</v>
      </c>
    </row>
    <row r="211" spans="2:4" x14ac:dyDescent="0.3">
      <c r="B211" s="72" t="s">
        <v>90</v>
      </c>
      <c r="C211" s="108" t="str">
        <f>IF('(OPTION) Veh -Gate Int Time'!E17="yes",IF(NOT(('(OPTION) Veh -Gate Int Time'!E29)=ROUNDDOWN(('(OPTION) Veh -Gate Int Time'!E29),-0.1)),((('(OPTION) Veh -Gate Int Time'!E29)-ROUNDDOWN(('(OPTION) Veh -Gate Int Time'!E29),-0.1))*(LOOKUP(ROUNDUP(('(OPTION) Veh -Gate Int Time'!E29),-0.1),'Gate-Interaction Table'!B:B,'Gate-Interaction Table'!D:D)-LOOKUP(ROUNDDOWN(('(OPTION) Veh -Gate Int Time'!E29),-0.1),'Gate-Interaction Table'!B:B,'Gate-Interaction Table'!D:D)))/((ROUNDUP(('(OPTION) Veh -Gate Int Time'!E29),-0.1)-ROUNDDOWN(('(OPTION) Veh -Gate Int Time'!E29),-0.1)))+LOOKUP(ROUNDDOWN(('(OPTION) Veh -Gate Int Time'!E29),-0.1),'Gate-Interaction Table'!B:B,'Gate-Interaction Table'!D:D),LOOKUP(('(OPTION) Veh -Gate Int Time'!E29),'Gate-Interaction Table'!B:B,'Gate-Interaction Table'!D:D)),"N/A")</f>
        <v>N/A</v>
      </c>
    </row>
    <row r="212" spans="2:4" x14ac:dyDescent="0.3">
      <c r="B212" s="73" t="s">
        <v>91</v>
      </c>
      <c r="C212" s="108" t="str">
        <f>IF('(OPTION) Veh -Gate Int Time'!E17="yes",IF(NOT(('(OPTION) Veh -Gate Int Time'!E29)=ROUNDDOWN(('(OPTION) Veh -Gate Int Time'!E29),-0.1)),((('(OPTION) Veh -Gate Int Time'!E29)-ROUNDDOWN(('(OPTION) Veh -Gate Int Time'!E29),-0.1))*(LOOKUP(ROUNDUP(('(OPTION) Veh -Gate Int Time'!E29),-0.1),'Gate-Interaction Table'!B:B,'Gate-Interaction Table'!E:E)-LOOKUP(ROUNDDOWN(('(OPTION) Veh -Gate Int Time'!E29),-0.1),'Gate-Interaction Table'!B:B,'Gate-Interaction Table'!E:E)))/((ROUNDUP(('(OPTION) Veh -Gate Int Time'!E29),-0.1)-ROUNDDOWN(('(OPTION) Veh -Gate Int Time'!E29),-0.1)))+LOOKUP(ROUNDDOWN(('(OPTION) Veh -Gate Int Time'!E29),-0.1),'Gate-Interaction Table'!B:B,'Gate-Interaction Table'!E:E),LOOKUP(('(OPTION) Veh -Gate Int Time'!E29),'Gate-Interaction Table'!B:B,'Gate-Interaction Table'!E:E)),"N/A")</f>
        <v>N/A</v>
      </c>
    </row>
    <row r="213" spans="2:4" x14ac:dyDescent="0.3">
      <c r="B213" s="73" t="s">
        <v>92</v>
      </c>
      <c r="C213" s="108" t="str">
        <f>IF('(OPTION) Veh -Gate Int Time'!E17="yes",IF(NOT(('(OPTION) Veh -Gate Int Time'!E29)=ROUNDDOWN(('(OPTION) Veh -Gate Int Time'!E29),-0.1)),((('(OPTION) Veh -Gate Int Time'!E29)-ROUNDDOWN(('(OPTION) Veh -Gate Int Time'!E29),-0.1))*(LOOKUP(ROUNDUP(('(OPTION) Veh -Gate Int Time'!E29),-0.1),'Gate-Interaction Table'!B:B,'Gate-Interaction Table'!F:F)-LOOKUP(ROUNDDOWN(('(OPTION) Veh -Gate Int Time'!E29),-0.1),'Gate-Interaction Table'!B:B,'Gate-Interaction Table'!F:F)))/((ROUNDUP(('(OPTION) Veh -Gate Int Time'!E29),-0.1)-ROUNDDOWN(('(OPTION) Veh -Gate Int Time'!E29),-0.1)))+LOOKUP(ROUNDDOWN(('(OPTION) Veh -Gate Int Time'!E29),-0.1),'Gate-Interaction Table'!B:B,'Gate-Interaction Table'!F:F),LOOKUP(('(OPTION) Veh -Gate Int Time'!E29),'Gate-Interaction Table'!B:B,'Gate-Interaction Table'!F:F)),"N/A")</f>
        <v>N/A</v>
      </c>
    </row>
    <row r="214" spans="2:4" x14ac:dyDescent="0.3">
      <c r="B214" s="114"/>
      <c r="C214" s="115"/>
    </row>
    <row r="215" spans="2:4" x14ac:dyDescent="0.3">
      <c r="B215" s="105" t="s">
        <v>178</v>
      </c>
      <c r="C215" s="108" t="str">
        <f>IF(PreemptionForm!D66="yes",C210,IF(PreemptionForm!E66="yes",C211,IF(PreemptionForm!F66="yes",C212,IF(PreemptionForm!H66="yes",C213,0))))</f>
        <v>N/A</v>
      </c>
    </row>
    <row r="216" spans="2:4" ht="39.15" customHeight="1" x14ac:dyDescent="0.3">
      <c r="B216" s="181"/>
      <c r="C216" s="182"/>
    </row>
    <row r="217" spans="2:4" ht="30" customHeight="1" x14ac:dyDescent="0.3">
      <c r="D217" s="1" t="s">
        <v>570</v>
      </c>
    </row>
    <row r="218" spans="2:4" ht="39" customHeight="1" x14ac:dyDescent="0.3">
      <c r="D218" s="184" t="s">
        <v>615</v>
      </c>
    </row>
    <row r="219" spans="2:4" ht="15.75" customHeight="1" x14ac:dyDescent="0.3">
      <c r="D219" s="1"/>
    </row>
    <row r="220" spans="2:4" x14ac:dyDescent="0.3">
      <c r="B220" t="s">
        <v>488</v>
      </c>
    </row>
    <row r="221" spans="2:4" ht="28.8" x14ac:dyDescent="0.3">
      <c r="B221" s="67" t="s">
        <v>551</v>
      </c>
      <c r="C221" s="74" t="str">
        <f>IF('(OPTION) Veh -Gate Int Time'!E17="yes",'(OPTION) Veh -Gate Int Time'!E27*'(OPTION) Veh -Gate Int Time'!E31,"N/A")</f>
        <v>N/A</v>
      </c>
    </row>
    <row r="223" spans="2:4" x14ac:dyDescent="0.3">
      <c r="B223" t="s">
        <v>489</v>
      </c>
    </row>
    <row r="224" spans="2:4" ht="28.8" x14ac:dyDescent="0.3">
      <c r="B224" s="67" t="s">
        <v>552</v>
      </c>
      <c r="C224" s="74" t="str">
        <f>IF('(OPTION) Veh -Gate Int Time'!E17="yes",'(OPTION) Veh -Gate Int Time'!E33+'(OPTION) Veh -Gate Int Time'!E25,"N/A")</f>
        <v>N/A</v>
      </c>
    </row>
    <row r="226" spans="2:4" x14ac:dyDescent="0.3">
      <c r="B226" t="s">
        <v>490</v>
      </c>
    </row>
    <row r="227" spans="2:4" ht="28.8" x14ac:dyDescent="0.3">
      <c r="B227" s="67" t="s">
        <v>553</v>
      </c>
      <c r="C227" s="74" t="str">
        <f>IF('(OPTION) Veh -Gate Int Time'!E17="yes",'(OPTION) Veh -Gate Int Time'!E23-'(OPTION) Veh -Gate Int Time'!E35,"N/A")</f>
        <v>N/A</v>
      </c>
    </row>
    <row r="228" spans="2:4" x14ac:dyDescent="0.3">
      <c r="C228" s="103"/>
      <c r="D228"/>
    </row>
    <row r="229" spans="2:4" ht="15.75" customHeight="1" x14ac:dyDescent="0.3">
      <c r="B229" s="256" t="s">
        <v>470</v>
      </c>
      <c r="D229" s="1"/>
    </row>
    <row r="230" spans="2:4" ht="28.8" x14ac:dyDescent="0.3">
      <c r="B230" s="266" t="s">
        <v>554</v>
      </c>
      <c r="C230" s="74">
        <f>'(OPTION) Veh -Gate Int Time'!E39</f>
        <v>0</v>
      </c>
      <c r="D230" s="1"/>
    </row>
    <row r="231" spans="2:4" x14ac:dyDescent="0.3">
      <c r="C231" s="103"/>
    </row>
    <row r="232" spans="2:4" ht="15.75" customHeight="1" x14ac:dyDescent="0.3">
      <c r="B232" s="256" t="s">
        <v>475</v>
      </c>
      <c r="D232" s="1"/>
    </row>
    <row r="233" spans="2:4" ht="28.8" x14ac:dyDescent="0.3">
      <c r="B233" s="266" t="s">
        <v>556</v>
      </c>
      <c r="C233" s="74">
        <f>PreemptionForm!E42+PreemptionForm!E44+PreemptionForm!E46</f>
        <v>73.5</v>
      </c>
      <c r="D233" s="1"/>
    </row>
    <row r="234" spans="2:4" ht="15.75" customHeight="1" x14ac:dyDescent="0.3">
      <c r="B234" s="256"/>
      <c r="C234" s="103"/>
      <c r="D234" s="1"/>
    </row>
    <row r="235" spans="2:4" ht="14.25" customHeight="1" x14ac:dyDescent="0.3">
      <c r="B235" t="s">
        <v>555</v>
      </c>
      <c r="C235" s="11"/>
    </row>
    <row r="236" spans="2:4" ht="28.8" x14ac:dyDescent="0.3">
      <c r="B236" s="206" t="s">
        <v>215</v>
      </c>
      <c r="C236" s="77"/>
    </row>
    <row r="237" spans="2:4" ht="43.2" x14ac:dyDescent="0.3">
      <c r="B237" s="78" t="s">
        <v>152</v>
      </c>
      <c r="C237" s="79"/>
    </row>
    <row r="238" spans="2:4" x14ac:dyDescent="0.3">
      <c r="B238" s="70" t="s">
        <v>89</v>
      </c>
      <c r="C238" s="74">
        <f>IF(PreemptionForm!$E$50&lt;=400,IF(NOT((PreemptionForm!$E$44+PreemptionForm!$E$42+PreemptionForm!$D$61)=ROUNDDOWN((PreemptionForm!$E$44+PreemptionForm!$E$42+PreemptionForm!$D$61),-1)),(((PreemptionForm!$E$44+PreemptionForm!$E$42+PreemptionForm!$D$61)-ROUNDDOWN((PreemptionForm!$E$44+PreemptionForm!$E$42+PreemptionForm!$D$61),-1))*(LOOKUP(ROUNDUP((PreemptionForm!$E$44+PreemptionForm!$E$42+PreemptionForm!$D$61),-1),'Accel Table'!$B:$B,'Accel Table'!C:C)-LOOKUP(ROUNDDOWN((PreemptionForm!$E$44+PreemptionForm!$E$42+PreemptionForm!$D$61),-1),'Accel Table'!$B:$B,'Accel Table'!C:C)))/((ROUNDUP((PreemptionForm!$E$44+PreemptionForm!$E$42+PreemptionForm!$D$61),-1)-ROUNDDOWN((PreemptionForm!$E$44+PreemptionForm!$E$42+PreemptionForm!$D$61),-1)))+LOOKUP(ROUNDDOWN((PreemptionForm!$E$44+PreemptionForm!$E$42+PreemptionForm!$D$61),-1),'Accel Table'!$B:$B,'Accel Table'!C:C),LOOKUP((PreemptionForm!$E$44+PreemptionForm!$E$42+PreemptionForm!$D$61),'Accel Table'!$B:$B,'Accel Table'!C:C)),"N/A")</f>
        <v>2.5300000000000002</v>
      </c>
    </row>
    <row r="239" spans="2:4" x14ac:dyDescent="0.3">
      <c r="B239" s="72" t="s">
        <v>90</v>
      </c>
      <c r="C239" s="74">
        <f>IF(PreemptionForm!$E$50&lt;=400,IF(NOT((PreemptionForm!$E$44+PreemptionForm!$E$42+PreemptionForm!$E$61)=ROUNDDOWN((PreemptionForm!$E$44+PreemptionForm!$E$42+PreemptionForm!$E$61),-1)),(((PreemptionForm!$E$44+PreemptionForm!$E$42+PreemptionForm!$E$61)-ROUNDDOWN((PreemptionForm!$E$44+PreemptionForm!$E$42+PreemptionForm!$E$61),-1))*(LOOKUP(ROUNDUP((PreemptionForm!$E$44+PreemptionForm!$E$42+PreemptionForm!$E$61),-1),'Accel Table'!$B:$B,'Accel Table'!D:D)-LOOKUP(ROUNDDOWN((PreemptionForm!$E$44+PreemptionForm!$E$42+PreemptionForm!$E$61),-1),'Accel Table'!$B:$B,'Accel Table'!D:D)))/((ROUNDUP((PreemptionForm!$E$44+PreemptionForm!$E$42+PreemptionForm!$E$61),-1)-ROUNDDOWN((PreemptionForm!$E$44+PreemptionForm!$E$42+PreemptionForm!$E$61),-1)))+LOOKUP(ROUNDDOWN((PreemptionForm!$E$44+PreemptionForm!$E$42+PreemptionForm!$E$61),-1),'Accel Table'!$B:$B,'Accel Table'!D:D),LOOKUP((PreemptionForm!$E$44+PreemptionForm!$E$42+PreemptionForm!$E$61),'Accel Table'!$B:$B,'Accel Table'!D:D)),"N/A")</f>
        <v>3.7</v>
      </c>
    </row>
    <row r="240" spans="2:4" ht="14.25" customHeight="1" x14ac:dyDescent="0.3">
      <c r="B240" s="73" t="s">
        <v>91</v>
      </c>
      <c r="C240" s="74">
        <f>IF(PreemptionForm!$E$50&lt;=400,IF(NOT((PreemptionForm!$E$44+PreemptionForm!$E$42+PreemptionForm!$F$61)=ROUNDDOWN((PreemptionForm!$E$44+PreemptionForm!$E$42+PreemptionForm!$F$61),-1)),(((PreemptionForm!$E$44+PreemptionForm!$E$42+PreemptionForm!$F$61)-ROUNDDOWN((PreemptionForm!$E$44+PreemptionForm!$E$42+PreemptionForm!$F$61),-1))*(LOOKUP(ROUNDUP((PreemptionForm!$E$44+PreemptionForm!$E$42+PreemptionForm!$F$61),-1),'Accel Table'!$B:$B,'Accel Table'!E:E)-LOOKUP(ROUNDDOWN((PreemptionForm!$E$44+PreemptionForm!$E$42+PreemptionForm!$F$61),-1),'Accel Table'!$B:$B,'Accel Table'!E:E)))/((ROUNDUP((PreemptionForm!$E$44+PreemptionForm!$E$42+PreemptionForm!$F$61),-1)-ROUNDDOWN((PreemptionForm!$E$44+PreemptionForm!$E$42+PreemptionForm!$F$61),-1)))+LOOKUP(ROUNDDOWN((PreemptionForm!$E$44+PreemptionForm!$E$42+PreemptionForm!$F$61),-1),'Accel Table'!$B:$B,'Accel Table'!E:E),LOOKUP((PreemptionForm!$E$44+PreemptionForm!$E$42+PreemptionForm!$F$61),'Accel Table'!$B:$B,'Accel Table'!E:E)),"N/A")</f>
        <v>5.34</v>
      </c>
    </row>
    <row r="241" spans="2:4" ht="14.25" customHeight="1" x14ac:dyDescent="0.3">
      <c r="B241" s="73" t="s">
        <v>92</v>
      </c>
      <c r="C241" s="74">
        <f>IF(PreemptionForm!$E$50&lt;=400,IF(NOT((PreemptionForm!$E$44+PreemptionForm!$E$42+PreemptionForm!$H$61)=ROUNDDOWN((PreemptionForm!$E$44+PreemptionForm!$E$42+PreemptionForm!$H$61),-1)),(((PreemptionForm!$E$44+PreemptionForm!$E$42+PreemptionForm!$H$61)-ROUNDDOWN((PreemptionForm!$E$44+PreemptionForm!$E$42+PreemptionForm!$H$61),-1))*(LOOKUP(ROUNDUP((PreemptionForm!$E$44+PreemptionForm!$E$42+PreemptionForm!$H$61),-1),'Accel Table'!$B:$B,'Accel Table'!F:F)-LOOKUP(ROUNDDOWN((PreemptionForm!$E$44+PreemptionForm!$E$42+PreemptionForm!$H$61),-1),'Accel Table'!$B:$B,'Accel Table'!F:F)))/((ROUNDUP((PreemptionForm!$E$44+PreemptionForm!$E$42+PreemptionForm!$H$61),-1)-ROUNDDOWN((PreemptionForm!$E$44+PreemptionForm!$E$42+PreemptionForm!$H$61),-1)))+LOOKUP(ROUNDDOWN((PreemptionForm!$E$44+PreemptionForm!$E$42+PreemptionForm!$H$61),-1),'Accel Table'!$B:$B,'Accel Table'!F:F),LOOKUP((PreemptionForm!$E$44+PreemptionForm!$E$42+PreemptionForm!$H$61),'Accel Table'!$B:$B,'Accel Table'!F:F)),"N/A")</f>
        <v>11.45</v>
      </c>
    </row>
    <row r="242" spans="2:4" ht="89.4" customHeight="1" x14ac:dyDescent="0.3">
      <c r="D242" s="1" t="s">
        <v>571</v>
      </c>
    </row>
    <row r="243" spans="2:4" ht="39" customHeight="1" x14ac:dyDescent="0.3">
      <c r="D243" s="184" t="s">
        <v>615</v>
      </c>
    </row>
    <row r="244" spans="2:4" ht="14.25" customHeight="1" x14ac:dyDescent="0.3">
      <c r="B244" s="110"/>
      <c r="C244" s="103"/>
    </row>
    <row r="245" spans="2:4" ht="316.5" customHeight="1" x14ac:dyDescent="0.3">
      <c r="B245" s="260"/>
      <c r="C245" s="176"/>
    </row>
    <row r="246" spans="2:4" ht="43.2" x14ac:dyDescent="0.3">
      <c r="B246" s="78" t="s">
        <v>153</v>
      </c>
      <c r="C246" s="8"/>
    </row>
    <row r="247" spans="2:4" x14ac:dyDescent="0.3">
      <c r="B247" s="73" t="s">
        <v>94</v>
      </c>
      <c r="C247" s="74">
        <f>C238</f>
        <v>2.5300000000000002</v>
      </c>
    </row>
    <row r="248" spans="2:4" x14ac:dyDescent="0.3">
      <c r="B248" s="73" t="s">
        <v>95</v>
      </c>
      <c r="C248" s="75">
        <f>IF(C239="N/A","N/A",C239*VLOOKUP(CEILING(PreemptionForm!$E$61+PreemptionForm!$E$44+PreemptionForm!$E$42,25),'Grade Table&lt;400'!$B$4:$G$23,(EVEN(PreemptionForm!$I$44))/2+2))</f>
        <v>3.7</v>
      </c>
    </row>
    <row r="249" spans="2:4" x14ac:dyDescent="0.3">
      <c r="B249" s="73" t="s">
        <v>96</v>
      </c>
      <c r="C249" s="74">
        <f>IF(C240="N/A","N/A",C240*VLOOKUP(CEILING(PreemptionForm!$F$61+PreemptionForm!$E$44+PreemptionForm!$E$42,25),'Grade Table&lt;400'!$B$27:$G$44,(EVEN(PreemptionForm!$I$44))/2+2))</f>
        <v>5.34</v>
      </c>
    </row>
    <row r="250" spans="2:4" x14ac:dyDescent="0.3">
      <c r="B250" s="73" t="s">
        <v>97</v>
      </c>
      <c r="C250" s="74">
        <f>IF(C241="N/A","N/A",C241*VLOOKUP(CEILING(PreemptionForm!$H$61+PreemptionForm!$E$44+PreemptionForm!$E$42,25),'Grade Table&lt;400'!$B$50:G266,(EVEN(PreemptionForm!$I$44))/2+2))</f>
        <v>11.45</v>
      </c>
    </row>
    <row r="251" spans="2:4" ht="89.4" customHeight="1" x14ac:dyDescent="0.3">
      <c r="B251" s="110"/>
      <c r="C251" s="103"/>
    </row>
    <row r="252" spans="2:4" ht="30" customHeight="1" x14ac:dyDescent="0.3">
      <c r="D252" s="1" t="s">
        <v>561</v>
      </c>
    </row>
    <row r="253" spans="2:4" ht="39" customHeight="1" x14ac:dyDescent="0.3">
      <c r="D253" s="184" t="s">
        <v>615</v>
      </c>
    </row>
    <row r="254" spans="2:4" x14ac:dyDescent="0.3">
      <c r="B254" s="110"/>
      <c r="C254" s="103"/>
    </row>
    <row r="255" spans="2:4" ht="300" customHeight="1" x14ac:dyDescent="0.3">
      <c r="B255" s="170"/>
      <c r="C255" s="6"/>
    </row>
    <row r="256" spans="2:4" ht="28.8" x14ac:dyDescent="0.3">
      <c r="B256" s="78" t="s">
        <v>154</v>
      </c>
      <c r="C256" s="8"/>
    </row>
    <row r="257" spans="2:4" ht="55.5" customHeight="1" x14ac:dyDescent="0.3">
      <c r="B257" s="84"/>
      <c r="C257" s="8"/>
    </row>
    <row r="258" spans="2:4" x14ac:dyDescent="0.3">
      <c r="B258" s="84" t="s">
        <v>98</v>
      </c>
      <c r="C258" s="8"/>
    </row>
    <row r="259" spans="2:4" x14ac:dyDescent="0.3">
      <c r="B259" s="84" t="s">
        <v>99</v>
      </c>
      <c r="C259" s="8"/>
    </row>
    <row r="260" spans="2:4" x14ac:dyDescent="0.3">
      <c r="B260" s="261" t="s">
        <v>100</v>
      </c>
      <c r="C260" s="9"/>
    </row>
    <row r="261" spans="2:4" ht="79.650000000000006" customHeight="1" x14ac:dyDescent="0.3">
      <c r="B261" s="110"/>
    </row>
    <row r="262" spans="2:4" ht="30" customHeight="1" x14ac:dyDescent="0.3">
      <c r="D262" s="1" t="s">
        <v>560</v>
      </c>
    </row>
    <row r="263" spans="2:4" ht="39" customHeight="1" x14ac:dyDescent="0.3">
      <c r="D263" s="184" t="s">
        <v>615</v>
      </c>
    </row>
    <row r="264" spans="2:4" x14ac:dyDescent="0.3">
      <c r="B264" s="110"/>
    </row>
    <row r="265" spans="2:4" ht="28.8" x14ac:dyDescent="0.3">
      <c r="B265" s="70" t="s">
        <v>101</v>
      </c>
      <c r="C265" s="176"/>
    </row>
    <row r="266" spans="2:4" x14ac:dyDescent="0.3">
      <c r="B266" s="171" t="s">
        <v>103</v>
      </c>
      <c r="C266" s="172" t="str">
        <f>IF(PreemptionForm!$D$61+PreemptionForm!$E$44+PreemptionForm!$E$42&gt;400,EXP(1)^(VLOOKUP(PreemptionForm!$I$44,'Grade Table&gt;400'!$C$4:$G$4,2)-VLOOKUP(PreemptionForm!$I$44,'Grade Table&gt;400'!$C$4:$G$4,3)*SQRT(VLOOKUP(PreemptionForm!$I$44,'Grade Table&gt;400'!$C$4:$G$4,4)+2/VLOOKUP(PreemptionForm!$I$44,'Grade Table&gt;400'!$C$4:$G$4,3)*LN(VLOOKUP(PreemptionForm!$I$44,'Grade Table&gt;400'!$C$4:$G$4,5)/(PreemptionForm!$D$61+PreemptionForm!$E$44+PreemptionForm!$E$42)))),"N/A")</f>
        <v>N/A</v>
      </c>
    </row>
    <row r="267" spans="2:4" x14ac:dyDescent="0.3">
      <c r="B267" s="175" t="s">
        <v>104</v>
      </c>
      <c r="C267" s="176"/>
    </row>
    <row r="268" spans="2:4" x14ac:dyDescent="0.3">
      <c r="B268" s="82" t="s">
        <v>105</v>
      </c>
      <c r="C268" s="74" t="str">
        <f>IF(PreemptionForm!$E$61+PreemptionForm!$E$44+PreemptionForm!$E$42&gt;400,EXP(1)^(VLOOKUP(PreemptionForm!$I$44,'Grade Table&gt;400'!$C$5:$G$9,2)-VLOOKUP(PreemptionForm!$I$44,'Grade Table&gt;400'!$C$5:$G$9,3)*SQRT(VLOOKUP(PreemptionForm!$I$44,'Grade Table&gt;400'!$C$5:$G$9,4)+2/VLOOKUP(PreemptionForm!$I$44,'Grade Table&gt;400'!$C$5:$G$9,3)*LN(VLOOKUP(PreemptionForm!$I$44,'Grade Table&gt;400'!$C$5:$G$9,5)/(PreemptionForm!$E$61+PreemptionForm!$E$44+PreemptionForm!$E$42)))),"N/A")</f>
        <v>N/A</v>
      </c>
    </row>
    <row r="269" spans="2:4" x14ac:dyDescent="0.3">
      <c r="B269" s="82" t="s">
        <v>106</v>
      </c>
      <c r="C269" s="74" t="str">
        <f>IF(PreemptionForm!$E$61+PreemptionForm!$E$44+PreemptionForm!$E$42&gt;400,EXP(1)^(VLOOKUP(EVEN(PreemptionForm!$I$44),'Grade Table&gt;400'!$C$5:$G$9,2)-VLOOKUP(EVEN(PreemptionForm!$I$44),'Grade Table&gt;400'!$C$5:$G$9,3)*SQRT(VLOOKUP(EVEN(PreemptionForm!$I$44),'Grade Table&gt;400'!$C$5:$G$9,4)+2/VLOOKUP(EVEN(PreemptionForm!$I$44),'Grade Table&gt;400'!$C$5:$G$9,3)*LN(VLOOKUP(EVEN(PreemptionForm!$I$44),'Grade Table&gt;400'!$C$5:$G$9,5)/(PreemptionForm!$E$61+PreemptionForm!$E$44+PreemptionForm!$E$42)))),"N/A")</f>
        <v>N/A</v>
      </c>
    </row>
    <row r="270" spans="2:4" x14ac:dyDescent="0.3">
      <c r="B270" s="83" t="s">
        <v>107</v>
      </c>
      <c r="C270" s="74" t="str">
        <f>IF(PreemptionForm!$I$44=0,C268,IF(PreemptionForm!$E$61+PreemptionForm!$E$44+PreemptionForm!$E$42&gt;400,C268+(PreemptionForm!$I$44-VLOOKUP(PreemptionForm!$I$44,'Grade Table&gt;400'!$C$5:$G$9,1))*(C269-C268)/(VLOOKUP(EVEN(PreemptionForm!$I$44),'Grade Table&gt;400'!$C$5:$G$9,1)-VLOOKUP(PreemptionForm!$I$44,'Grade Table&gt;400'!$C$5:$G$9,1)),"N/A"))</f>
        <v>N/A</v>
      </c>
    </row>
    <row r="271" spans="2:4" x14ac:dyDescent="0.3">
      <c r="B271" s="84" t="s">
        <v>108</v>
      </c>
      <c r="C271" s="8"/>
    </row>
    <row r="272" spans="2:4" x14ac:dyDescent="0.3">
      <c r="B272" s="82" t="s">
        <v>109</v>
      </c>
      <c r="C272" s="74" t="str">
        <f>IF(PreemptionForm!$F$61+PreemptionForm!$E$44+PreemptionForm!$E$42&gt;400,EXP(1)^(VLOOKUP(PreemptionForm!$I$44,'Grade Table&gt;400'!$C$10:$G$15,2)-VLOOKUP(PreemptionForm!$I$44,'Grade Table&gt;400'!$C$10:$G$15,3)*SQRT(VLOOKUP(PreemptionForm!$I$44,'Grade Table&gt;400'!$C$10:$G$15,4)+2/VLOOKUP(PreemptionForm!$I$44,'Grade Table&gt;400'!$C$10:$G$15,3)*LN(VLOOKUP(PreemptionForm!$I$44,'Grade Table&gt;400'!$C$10:$G$15,5)/(PreemptionForm!$F$61+PreemptionForm!$E$44+PreemptionForm!$E$42)))),"N/A")</f>
        <v>N/A</v>
      </c>
    </row>
    <row r="273" spans="2:4" x14ac:dyDescent="0.3">
      <c r="B273" s="82" t="s">
        <v>110</v>
      </c>
      <c r="C273" s="74" t="str">
        <f>IF(PreemptionForm!$F$61+PreemptionForm!$E$44+PreemptionForm!$E$42&gt;400,IF(PreemptionForm!$I$44&lt;=1,EXP(1)^(VLOOKUP(PreemptionForm!$I$44,'Grade Table&gt;400'!$C$10:$G$15,2)-VLOOKUP(PreemptionForm!$I$44,'Grade Table&gt;400'!$C$10:$G$15,3)*SQRT(VLOOKUP(PreemptionForm!$I$44,'Grade Table&gt;400'!$C$10:$G$15,4)+2/VLOOKUP(PreemptionForm!$I$44,'Grade Table&gt;400'!$C$10:$G$15,3)*LN(VLOOKUP(PreemptionForm!$I$44,'Grade Table&gt;400'!$C$10:$G$15,5)/(PreemptionForm!$F$61+PreemptionForm!$E$44+PreemptionForm!$E$42)))),EXP(1)^(VLOOKUP(EVEN(PreemptionForm!$I$44),'Grade Table&gt;400'!$C$10:$G$15,2)-VLOOKUP(EVEN(PreemptionForm!$I$44),'Grade Table&gt;400'!$C$10:$G$15,3)*SQRT(VLOOKUP(EVEN(PreemptionForm!$I$44),'Grade Table&gt;400'!$C$10:$G$15,4)+2/VLOOKUP(EVEN(PreemptionForm!$I$44),'Grade Table&gt;400'!$C$10:$G$15,3)*LN(VLOOKUP(EVEN(PreemptionForm!$I$44),'Grade Table&gt;400'!$C$10:$G$15,5)/(PreemptionForm!$F$61+PreemptionForm!$E$44+PreemptionForm!$E$42))))),"N/A")</f>
        <v>N/A</v>
      </c>
    </row>
    <row r="274" spans="2:4" x14ac:dyDescent="0.3">
      <c r="B274" s="82" t="s">
        <v>107</v>
      </c>
      <c r="C274" s="74" t="str">
        <f>IF(PreemptionForm!$I$44=0,C272,IF(PreemptionForm!$F$61+PreemptionForm!$E$44+PreemptionForm!$E$42&gt;400,C272+(PreemptionForm!$I$44-VLOOKUP(PreemptionForm!$I$44,'Grade Table&gt;400'!$C$10:$G$15,1))*(C273-C272)/(VLOOKUP(EVEN(PreemptionForm!$I$44),'Grade Table&gt;400'!$C$10:$G$15,1)-VLOOKUP(PreemptionForm!$I$44,'Grade Table&gt;400'!$C$10:$G$15,1)),"N/A"))</f>
        <v>N/A</v>
      </c>
    </row>
    <row r="275" spans="2:4" x14ac:dyDescent="0.3">
      <c r="B275" s="84" t="s">
        <v>438</v>
      </c>
      <c r="C275" s="8"/>
    </row>
    <row r="276" spans="2:4" x14ac:dyDescent="0.3">
      <c r="B276" s="82" t="s">
        <v>113</v>
      </c>
      <c r="C276" s="74" t="str">
        <f>IF(PreemptionForm!$H$61+PreemptionForm!$E$44+PreemptionForm!$E$42&gt;400,EXP(1)^(VLOOKUP(PreemptionForm!$I$44,'Grade Table&gt;400'!$C$16:$G$20,2)-VLOOKUP(PreemptionForm!$I$44,'Grade Table&gt;400'!$C$16:$G$20,3)*SQRT(VLOOKUP(PreemptionForm!$I$44,'Grade Table&gt;400'!$C$16:$G$20,4)+2/VLOOKUP(PreemptionForm!$I$44,'Grade Table&gt;400'!$C$16:$G$20,3)*LN(VLOOKUP(PreemptionForm!$I$44,'Grade Table&gt;400'!$C$16:$G$20,5)/(PreemptionForm!$H$61+PreemptionForm!$E$44+PreemptionForm!$E$42)))),"N/A")</f>
        <v>N/A</v>
      </c>
    </row>
    <row r="277" spans="2:4" x14ac:dyDescent="0.3">
      <c r="B277" s="82" t="s">
        <v>114</v>
      </c>
      <c r="C277" s="74" t="str">
        <f>IF(PreemptionForm!$H$61+PreemptionForm!$E$44+PreemptionForm!$E$42&gt;400,EXP(1)^(VLOOKUP(EVEN(PreemptionForm!$I$44),'Grade Table&gt;400'!$C$16:$G$20,2)-VLOOKUP(EVEN(PreemptionForm!$I$44),'Grade Table&gt;400'!$C$16:$G$20,3)*SQRT(VLOOKUP(EVEN(PreemptionForm!$I$44),'Grade Table&gt;400'!$C$16:$G$20,4)+2/VLOOKUP(EVEN(PreemptionForm!$I$44),'Grade Table&gt;400'!$C$16:$G$20,3)*LN(VLOOKUP(EVEN(PreemptionForm!$I$44),'Grade Table&gt;400'!$C$16:$G$20,5)/(PreemptionForm!$H$61+PreemptionForm!$E$44+PreemptionForm!$E$42)))),"N/A")</f>
        <v>N/A</v>
      </c>
    </row>
    <row r="278" spans="2:4" x14ac:dyDescent="0.3">
      <c r="B278" s="82" t="s">
        <v>107</v>
      </c>
      <c r="C278" s="74" t="str">
        <f>IF(PreemptionForm!$I$44=0,C276,IF(PreemptionForm!$H$61+PreemptionForm!$E$44+PreemptionForm!$E$42&gt;400,C276+(PreemptionForm!$I$44-VLOOKUP(PreemptionForm!$I$44,'Grade Table&gt;400'!$C$16:$G$20,1))*(C277-C276)/(VLOOKUP(EVEN(PreemptionForm!$I$44),'Grade Table&gt;400'!$C$16:$G$20,1)-VLOOKUP(PreemptionForm!$I$44,'Grade Table&gt;400'!$C$16:$G$20,1)),"N/A"))</f>
        <v>N/A</v>
      </c>
    </row>
    <row r="279" spans="2:4" x14ac:dyDescent="0.3">
      <c r="B279" s="350"/>
      <c r="C279" s="351"/>
    </row>
    <row r="280" spans="2:4" x14ac:dyDescent="0.3">
      <c r="B280" s="82" t="s">
        <v>452</v>
      </c>
      <c r="C280" s="74" t="str">
        <f>'(OPTION) Time to Clear CSD'!E21</f>
        <v>N/A</v>
      </c>
    </row>
    <row r="281" spans="2:4" x14ac:dyDescent="0.3">
      <c r="B281" s="100"/>
      <c r="C281" s="103"/>
    </row>
    <row r="282" spans="2:4" ht="15.75" customHeight="1" x14ac:dyDescent="0.3">
      <c r="B282" s="256" t="s">
        <v>477</v>
      </c>
      <c r="D282" s="1"/>
    </row>
    <row r="283" spans="2:4" ht="43.2" x14ac:dyDescent="0.3">
      <c r="B283" s="257" t="s">
        <v>557</v>
      </c>
      <c r="C283" s="74" t="str">
        <f>'(OPTION) Time to Clear CSD'!E23</f>
        <v>N/A</v>
      </c>
      <c r="D283" s="1"/>
    </row>
    <row r="284" spans="2:4" x14ac:dyDescent="0.3">
      <c r="B284" s="100"/>
      <c r="C284" s="103"/>
    </row>
    <row r="285" spans="2:4" x14ac:dyDescent="0.3">
      <c r="B285" s="256" t="s">
        <v>478</v>
      </c>
    </row>
    <row r="286" spans="2:4" ht="28.8" x14ac:dyDescent="0.3">
      <c r="B286" s="257" t="s">
        <v>558</v>
      </c>
      <c r="C286" s="74">
        <f>'(OPTION) Time to Clear CSD'!E25</f>
        <v>0</v>
      </c>
    </row>
    <row r="287" spans="2:4" x14ac:dyDescent="0.3">
      <c r="B287" s="100"/>
      <c r="C287" s="103"/>
    </row>
    <row r="288" spans="2:4" x14ac:dyDescent="0.3">
      <c r="B288" s="256" t="s">
        <v>627</v>
      </c>
    </row>
    <row r="289" spans="2:4" ht="28.8" x14ac:dyDescent="0.3">
      <c r="B289" s="257" t="s">
        <v>628</v>
      </c>
      <c r="C289" s="74" t="str">
        <f>'(OPTION) Remove TCG'!E20</f>
        <v>N/A</v>
      </c>
    </row>
    <row r="290" spans="2:4" ht="90" customHeight="1" x14ac:dyDescent="0.3">
      <c r="D290" s="1" t="s">
        <v>559</v>
      </c>
    </row>
    <row r="291" spans="2:4" x14ac:dyDescent="0.3">
      <c r="D291"/>
    </row>
    <row r="292" spans="2:4" x14ac:dyDescent="0.3">
      <c r="D292"/>
    </row>
    <row r="293" spans="2:4" x14ac:dyDescent="0.3">
      <c r="D293"/>
    </row>
    <row r="294" spans="2:4" x14ac:dyDescent="0.3">
      <c r="D294"/>
    </row>
    <row r="295" spans="2:4" x14ac:dyDescent="0.3">
      <c r="D295"/>
    </row>
    <row r="296" spans="2:4" x14ac:dyDescent="0.3">
      <c r="D296"/>
    </row>
  </sheetData>
  <sheetProtection algorithmName="SHA-512" hashValue="ChJchsWvVMxcfPS6M4x9ZtOZJFS5hBr9fdNlAustIXO09+UII/8jUBEawai1ICWJMdqHVA28Ap8x6SLdlwBo/Q==" saltValue="ymTcUVlr5Gpw6ZUZY0JW2g==" spinCount="100000" sheet="1" objects="1" selectLockedCells="1"/>
  <dataConsolidate/>
  <mergeCells count="1">
    <mergeCell ref="B279:C279"/>
  </mergeCells>
  <printOptions horizontalCentered="1"/>
  <pageMargins left="0.25" right="0.25" top="0.25" bottom="0.25" header="0" footer="0"/>
  <pageSetup scale="96" fitToWidth="2" fitToHeight="0" orientation="landscape" r:id="rId1"/>
  <rowBreaks count="14" manualBreakCount="14">
    <brk id="15" max="3" man="1"/>
    <brk id="35" max="16383" man="1"/>
    <brk id="45" max="3" man="1"/>
    <brk id="58" max="16383" man="1"/>
    <brk id="92" max="3" man="1"/>
    <brk id="122" max="16383" man="1"/>
    <brk id="146" max="3" man="1"/>
    <brk id="171" max="16383" man="1"/>
    <brk id="185" max="3" man="1"/>
    <brk id="198" max="16383" man="1"/>
    <brk id="217" max="3" man="1"/>
    <brk id="242" max="16383" man="1"/>
    <brk id="252" max="3" man="1"/>
    <brk id="262" max="16383" man="1"/>
  </rowBreak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1:AT46"/>
  <sheetViews>
    <sheetView showGridLines="0" view="pageLayout" zoomScaleNormal="100" zoomScaleSheetLayoutView="100" workbookViewId="0">
      <selection activeCell="X11" sqref="X11:AA11"/>
    </sheetView>
  </sheetViews>
  <sheetFormatPr defaultColWidth="3" defaultRowHeight="14.4" x14ac:dyDescent="0.3"/>
  <cols>
    <col min="1" max="1" width="3.109375" customWidth="1"/>
    <col min="2" max="2" width="3.33203125" customWidth="1"/>
    <col min="3" max="4" width="3.109375" customWidth="1"/>
    <col min="5" max="5" width="4.109375" customWidth="1"/>
    <col min="6" max="11" width="3.109375" customWidth="1"/>
    <col min="12" max="31" width="3.6640625" customWidth="1"/>
    <col min="32" max="34" width="3.109375" customWidth="1"/>
    <col min="35" max="35" width="14" customWidth="1"/>
    <col min="36" max="46" width="3.109375" customWidth="1"/>
    <col min="48" max="51" width="9.88671875" customWidth="1"/>
  </cols>
  <sheetData>
    <row r="1" spans="1:46" ht="39" customHeight="1" x14ac:dyDescent="0.3">
      <c r="AI1" s="183" t="s">
        <v>615</v>
      </c>
    </row>
    <row r="2" spans="1:46" x14ac:dyDescent="0.3">
      <c r="A2" s="325" t="s">
        <v>573</v>
      </c>
      <c r="B2" s="325"/>
      <c r="C2" s="325"/>
      <c r="D2" s="325"/>
      <c r="E2" s="325"/>
      <c r="F2" s="328" t="str">
        <f>IF(AND(PreemptionForm!B11="",PreemptionForm!B13=""),"",IF(PreemptionForm!B13="",PreemptionForm!B11,IF(PreemptionForm!B11="",PreemptionForm!B13,PreemptionForm!B11&amp;" at "&amp;PreemptionForm!B13)))</f>
        <v/>
      </c>
      <c r="G2" s="328"/>
      <c r="H2" s="328"/>
      <c r="I2" s="328"/>
      <c r="J2" s="328"/>
      <c r="K2" s="328"/>
      <c r="L2" s="328"/>
      <c r="M2" s="328"/>
      <c r="N2" s="328"/>
      <c r="O2" s="328"/>
      <c r="P2" s="328"/>
      <c r="R2" s="356" t="s">
        <v>574</v>
      </c>
      <c r="S2" s="356"/>
      <c r="T2" s="328" t="str">
        <f>IF(PreemptionForm!O15="","",PreemptionForm!O15)</f>
        <v/>
      </c>
      <c r="U2" s="328"/>
      <c r="V2" s="328"/>
      <c r="W2" s="27"/>
      <c r="X2" s="356" t="s">
        <v>575</v>
      </c>
      <c r="Y2" s="356"/>
      <c r="Z2" s="356"/>
      <c r="AA2" s="356"/>
      <c r="AB2" s="356"/>
      <c r="AC2" s="328" t="str">
        <f>IF(PreemptionForm!O13="","",PreemptionForm!O13)</f>
        <v/>
      </c>
      <c r="AD2" s="328"/>
      <c r="AE2" s="328"/>
      <c r="AF2" s="328"/>
      <c r="AT2" s="27"/>
    </row>
    <row r="3" spans="1:46" ht="7.35" customHeight="1" x14ac:dyDescent="0.3">
      <c r="P3" s="198"/>
      <c r="Q3" s="188"/>
      <c r="R3" s="188"/>
      <c r="S3" s="188"/>
    </row>
    <row r="4" spans="1:46" ht="15" customHeight="1" x14ac:dyDescent="0.3">
      <c r="A4" s="325" t="s">
        <v>54</v>
      </c>
      <c r="B4" s="325"/>
      <c r="C4" s="325"/>
      <c r="D4" s="325"/>
      <c r="E4" s="325"/>
      <c r="F4" s="325"/>
      <c r="G4" s="328" t="str">
        <f>IF(PreemptionForm!B9="","",PreemptionForm!B9)</f>
        <v/>
      </c>
      <c r="H4" s="328"/>
      <c r="I4" s="328"/>
      <c r="J4" s="328"/>
      <c r="K4" s="328"/>
      <c r="M4" s="356" t="s">
        <v>0</v>
      </c>
      <c r="N4" s="356"/>
      <c r="O4" s="328" t="str">
        <f>IF(PreemptionForm!B5="","",PreemptionForm!B5)</f>
        <v/>
      </c>
      <c r="P4" s="328"/>
      <c r="Q4" s="328"/>
      <c r="R4" s="328"/>
      <c r="S4" s="328"/>
      <c r="T4" s="328"/>
    </row>
    <row r="5" spans="1:46" ht="7.35" customHeight="1" x14ac:dyDescent="0.3">
      <c r="A5" s="27"/>
      <c r="B5" s="27"/>
      <c r="C5" s="27"/>
      <c r="D5" s="27"/>
      <c r="E5" s="27"/>
      <c r="F5" s="27"/>
      <c r="G5" s="27"/>
      <c r="H5" s="27"/>
    </row>
    <row r="6" spans="1:46" ht="15" customHeight="1" x14ac:dyDescent="0.3">
      <c r="C6" t="s">
        <v>586</v>
      </c>
      <c r="M6" s="3"/>
    </row>
    <row r="7" spans="1:46" ht="7.35" customHeight="1" x14ac:dyDescent="0.3">
      <c r="M7" s="3"/>
    </row>
    <row r="8" spans="1:46" ht="15" customHeight="1" x14ac:dyDescent="0.3">
      <c r="C8" s="260" t="s">
        <v>608</v>
      </c>
      <c r="D8" s="277"/>
      <c r="E8" s="277"/>
      <c r="F8" s="277"/>
      <c r="G8" s="277"/>
      <c r="H8" s="277"/>
      <c r="I8" s="277"/>
      <c r="J8" s="277"/>
      <c r="K8" s="176"/>
      <c r="L8" s="357" t="s">
        <v>617</v>
      </c>
      <c r="M8" s="357"/>
      <c r="N8" s="357"/>
      <c r="O8" s="357"/>
      <c r="P8" s="352"/>
      <c r="Q8" s="352"/>
      <c r="R8" s="352"/>
      <c r="S8" s="352"/>
      <c r="T8" s="352"/>
      <c r="U8" s="352"/>
      <c r="V8" s="352"/>
      <c r="W8" s="352"/>
      <c r="X8" s="352"/>
      <c r="Y8" s="352"/>
      <c r="Z8" s="352"/>
      <c r="AA8" s="352"/>
      <c r="AB8" s="352"/>
      <c r="AC8" s="352"/>
      <c r="AD8" s="352"/>
      <c r="AE8" s="352"/>
    </row>
    <row r="9" spans="1:46" ht="15" customHeight="1" x14ac:dyDescent="0.3">
      <c r="C9" s="260" t="s">
        <v>620</v>
      </c>
      <c r="D9" s="277"/>
      <c r="E9" s="277"/>
      <c r="F9" s="277"/>
      <c r="G9" s="277"/>
      <c r="H9" s="277"/>
      <c r="I9" s="277"/>
      <c r="J9" s="277"/>
      <c r="K9" s="176"/>
      <c r="L9" s="353">
        <v>42522</v>
      </c>
      <c r="M9" s="353"/>
      <c r="N9" s="353"/>
      <c r="O9" s="353"/>
      <c r="P9" s="353"/>
      <c r="Q9" s="353"/>
      <c r="R9" s="353"/>
      <c r="S9" s="353"/>
      <c r="T9" s="353"/>
      <c r="U9" s="353"/>
      <c r="V9" s="353"/>
      <c r="W9" s="353"/>
      <c r="X9" s="353"/>
      <c r="Y9" s="353"/>
      <c r="Z9" s="353"/>
      <c r="AA9" s="353"/>
      <c r="AB9" s="353"/>
      <c r="AC9" s="353"/>
      <c r="AD9" s="353"/>
      <c r="AE9" s="353"/>
    </row>
    <row r="10" spans="1:46" ht="15" customHeight="1" x14ac:dyDescent="0.3">
      <c r="C10" s="260" t="s">
        <v>578</v>
      </c>
      <c r="D10" s="277"/>
      <c r="E10" s="277"/>
      <c r="F10" s="277"/>
      <c r="G10" s="277"/>
      <c r="H10" s="277"/>
      <c r="I10" s="277"/>
      <c r="J10" s="277"/>
      <c r="K10" s="176"/>
      <c r="L10" s="295">
        <v>20</v>
      </c>
      <c r="M10" s="296"/>
      <c r="N10" s="296"/>
      <c r="O10" s="297"/>
      <c r="P10" s="295"/>
      <c r="Q10" s="296"/>
      <c r="R10" s="296"/>
      <c r="S10" s="297"/>
      <c r="T10" s="295"/>
      <c r="U10" s="296"/>
      <c r="V10" s="296"/>
      <c r="W10" s="297"/>
      <c r="X10" s="295"/>
      <c r="Y10" s="296"/>
      <c r="Z10" s="296"/>
      <c r="AA10" s="297"/>
      <c r="AB10" s="309"/>
      <c r="AC10" s="296"/>
      <c r="AD10" s="296"/>
      <c r="AE10" s="297"/>
    </row>
    <row r="11" spans="1:46" ht="15" customHeight="1" x14ac:dyDescent="0.3">
      <c r="C11" s="260" t="s">
        <v>579</v>
      </c>
      <c r="D11" s="277"/>
      <c r="E11" s="277"/>
      <c r="F11" s="277"/>
      <c r="G11" s="277"/>
      <c r="H11" s="277"/>
      <c r="I11" s="277"/>
      <c r="J11" s="277"/>
      <c r="K11" s="176"/>
      <c r="L11" s="295">
        <v>3</v>
      </c>
      <c r="M11" s="296"/>
      <c r="N11" s="296"/>
      <c r="O11" s="297"/>
      <c r="P11" s="295"/>
      <c r="Q11" s="296"/>
      <c r="R11" s="296"/>
      <c r="S11" s="297"/>
      <c r="T11" s="295"/>
      <c r="U11" s="296"/>
      <c r="V11" s="296"/>
      <c r="W11" s="297"/>
      <c r="X11" s="295"/>
      <c r="Y11" s="296"/>
      <c r="Z11" s="296"/>
      <c r="AA11" s="297"/>
      <c r="AB11" s="309"/>
      <c r="AC11" s="296"/>
      <c r="AD11" s="296"/>
      <c r="AE11" s="297"/>
    </row>
    <row r="12" spans="1:46" ht="15" customHeight="1" x14ac:dyDescent="0.3">
      <c r="C12" s="260" t="s">
        <v>580</v>
      </c>
      <c r="D12" s="277"/>
      <c r="E12" s="277"/>
      <c r="F12" s="277"/>
      <c r="G12" s="277"/>
      <c r="H12" s="277"/>
      <c r="I12" s="277"/>
      <c r="J12" s="277"/>
      <c r="K12" s="176"/>
      <c r="L12" s="298">
        <f>IF(AND(L10="",L11=""),"",SUM(L10:O11))</f>
        <v>23</v>
      </c>
      <c r="M12" s="354"/>
      <c r="N12" s="354"/>
      <c r="O12" s="299"/>
      <c r="P12" s="298" t="str">
        <f>IF(AND(P10="",P11=""),"",SUM(P10:S11))</f>
        <v/>
      </c>
      <c r="Q12" s="354"/>
      <c r="R12" s="354"/>
      <c r="S12" s="299"/>
      <c r="T12" s="298" t="str">
        <f>IF(AND(T10="",T11=""),"",SUM(T10:W11))</f>
        <v/>
      </c>
      <c r="U12" s="354"/>
      <c r="V12" s="354"/>
      <c r="W12" s="299"/>
      <c r="X12" s="298" t="str">
        <f>IF(AND(X10="",X11=""),"",SUM(X10:AA11))</f>
        <v/>
      </c>
      <c r="Y12" s="354"/>
      <c r="Z12" s="354"/>
      <c r="AA12" s="299"/>
      <c r="AB12" s="298" t="str">
        <f>IF(AND(AB10="",AB11=""),"",SUM(AB10:AE11))</f>
        <v/>
      </c>
      <c r="AC12" s="354"/>
      <c r="AD12" s="354"/>
      <c r="AE12" s="299"/>
    </row>
    <row r="13" spans="1:46" ht="15" customHeight="1" x14ac:dyDescent="0.3">
      <c r="C13" s="260" t="s">
        <v>581</v>
      </c>
      <c r="D13" s="277"/>
      <c r="E13" s="277"/>
      <c r="F13" s="277"/>
      <c r="G13" s="277"/>
      <c r="H13" s="277"/>
      <c r="I13" s="277"/>
      <c r="J13" s="277"/>
      <c r="K13" s="176"/>
      <c r="L13" s="327">
        <v>5</v>
      </c>
      <c r="M13" s="327"/>
      <c r="N13" s="327"/>
      <c r="O13" s="327"/>
      <c r="P13" s="327"/>
      <c r="Q13" s="327"/>
      <c r="R13" s="327"/>
      <c r="S13" s="327"/>
      <c r="T13" s="327"/>
      <c r="U13" s="327"/>
      <c r="V13" s="327"/>
      <c r="W13" s="327"/>
      <c r="X13" s="327"/>
      <c r="Y13" s="327"/>
      <c r="Z13" s="327"/>
      <c r="AA13" s="327"/>
      <c r="AB13" s="327"/>
      <c r="AC13" s="327"/>
      <c r="AD13" s="327"/>
      <c r="AE13" s="327"/>
    </row>
    <row r="14" spans="1:46" ht="15" customHeight="1" x14ac:dyDescent="0.3">
      <c r="C14" s="260" t="s">
        <v>582</v>
      </c>
      <c r="D14" s="277"/>
      <c r="E14" s="277"/>
      <c r="F14" s="277"/>
      <c r="G14" s="277"/>
      <c r="H14" s="277"/>
      <c r="I14" s="277"/>
      <c r="J14" s="277"/>
      <c r="K14" s="176"/>
      <c r="L14" s="298">
        <f>IF(AND(L12="",L13=""),"",SUM(L12:O13))</f>
        <v>28</v>
      </c>
      <c r="M14" s="354"/>
      <c r="N14" s="354"/>
      <c r="O14" s="299"/>
      <c r="P14" s="298" t="str">
        <f>IF(AND(P12="",P13=""),"",SUM(P12:S13))</f>
        <v/>
      </c>
      <c r="Q14" s="354"/>
      <c r="R14" s="354"/>
      <c r="S14" s="299"/>
      <c r="T14" s="298" t="str">
        <f>IF(AND(T12="",T13=""),"",SUM(T12:W13))</f>
        <v/>
      </c>
      <c r="U14" s="354"/>
      <c r="V14" s="354"/>
      <c r="W14" s="299"/>
      <c r="X14" s="298" t="str">
        <f>IF(AND(X12="",X13=""),"",SUM(X12:AA13))</f>
        <v/>
      </c>
      <c r="Y14" s="354"/>
      <c r="Z14" s="354"/>
      <c r="AA14" s="299"/>
      <c r="AB14" s="298" t="str">
        <f>IF(AND(AB12="",AB13=""),"",SUM(AB12:AE13))</f>
        <v/>
      </c>
      <c r="AC14" s="354"/>
      <c r="AD14" s="354"/>
      <c r="AE14" s="299"/>
    </row>
    <row r="15" spans="1:46" ht="15" customHeight="1" x14ac:dyDescent="0.3">
      <c r="C15" s="260" t="s">
        <v>583</v>
      </c>
      <c r="D15" s="277"/>
      <c r="E15" s="277"/>
      <c r="F15" s="277"/>
      <c r="G15" s="277"/>
      <c r="H15" s="277"/>
      <c r="I15" s="277"/>
      <c r="J15" s="277"/>
      <c r="K15" s="176"/>
      <c r="L15" s="327">
        <v>5</v>
      </c>
      <c r="M15" s="327"/>
      <c r="N15" s="327"/>
      <c r="O15" s="327"/>
      <c r="P15" s="327"/>
      <c r="Q15" s="327"/>
      <c r="R15" s="327"/>
      <c r="S15" s="327"/>
      <c r="T15" s="327"/>
      <c r="U15" s="327"/>
      <c r="V15" s="327"/>
      <c r="W15" s="327"/>
      <c r="X15" s="327"/>
      <c r="Y15" s="327"/>
      <c r="Z15" s="327"/>
      <c r="AA15" s="327"/>
      <c r="AB15" s="327"/>
      <c r="AC15" s="327"/>
      <c r="AD15" s="327"/>
      <c r="AE15" s="327"/>
    </row>
    <row r="16" spans="1:46" ht="15" customHeight="1" x14ac:dyDescent="0.3">
      <c r="C16" s="260" t="s">
        <v>584</v>
      </c>
      <c r="D16" s="277"/>
      <c r="E16" s="277"/>
      <c r="F16" s="277"/>
      <c r="G16" s="277"/>
      <c r="H16" s="277"/>
      <c r="I16" s="277"/>
      <c r="J16" s="277"/>
      <c r="K16" s="176"/>
      <c r="L16" s="327"/>
      <c r="M16" s="327"/>
      <c r="N16" s="327"/>
      <c r="O16" s="327"/>
      <c r="P16" s="327"/>
      <c r="Q16" s="327"/>
      <c r="R16" s="327"/>
      <c r="S16" s="327"/>
      <c r="T16" s="327"/>
      <c r="U16" s="327"/>
      <c r="V16" s="327"/>
      <c r="W16" s="327"/>
      <c r="X16" s="327"/>
      <c r="Y16" s="327"/>
      <c r="Z16" s="327"/>
      <c r="AA16" s="327"/>
      <c r="AB16" s="355"/>
      <c r="AC16" s="327"/>
      <c r="AD16" s="327"/>
      <c r="AE16" s="327"/>
    </row>
    <row r="17" spans="3:31" ht="15" customHeight="1" x14ac:dyDescent="0.3">
      <c r="C17" s="260" t="s">
        <v>585</v>
      </c>
      <c r="D17" s="277"/>
      <c r="E17" s="277"/>
      <c r="F17" s="277"/>
      <c r="G17" s="277"/>
      <c r="H17" s="277"/>
      <c r="I17" s="277"/>
      <c r="J17" s="277"/>
      <c r="K17" s="176"/>
      <c r="L17" s="298">
        <f>IF(AND(L14="",L15="",L16=""),"",SUM(L14:O16))</f>
        <v>33</v>
      </c>
      <c r="M17" s="354"/>
      <c r="N17" s="354"/>
      <c r="O17" s="299"/>
      <c r="P17" s="298" t="str">
        <f>IF(AND(P14="",P15="",P16=""),"",SUM(P14:S16))</f>
        <v/>
      </c>
      <c r="Q17" s="354"/>
      <c r="R17" s="354"/>
      <c r="S17" s="299"/>
      <c r="T17" s="298" t="str">
        <f>IF(AND(T14="",T15="",T16=""),"",SUM(T14:W16))</f>
        <v/>
      </c>
      <c r="U17" s="354"/>
      <c r="V17" s="354"/>
      <c r="W17" s="299"/>
      <c r="X17" s="298" t="str">
        <f>IF(AND(X14="",X15="",X16=""),"",SUM(X14:AA16))</f>
        <v/>
      </c>
      <c r="Y17" s="354"/>
      <c r="Z17" s="354"/>
      <c r="AA17" s="299"/>
      <c r="AB17" s="298" t="str">
        <f>IF(AND(AB14="",AB15="",AB16=""),"",SUM(AB14:AE16))</f>
        <v/>
      </c>
      <c r="AC17" s="354"/>
      <c r="AD17" s="354"/>
      <c r="AE17" s="299"/>
    </row>
    <row r="18" spans="3:31" ht="15" customHeight="1" x14ac:dyDescent="0.3"/>
    <row r="19" spans="3:31" ht="15" customHeight="1" x14ac:dyDescent="0.3">
      <c r="C19" t="s">
        <v>587</v>
      </c>
    </row>
    <row r="20" spans="3:31" ht="7.35" customHeight="1" x14ac:dyDescent="0.3"/>
    <row r="21" spans="3:31" ht="15" customHeight="1" x14ac:dyDescent="0.3">
      <c r="C21" s="358" t="s">
        <v>607</v>
      </c>
      <c r="D21" s="359"/>
      <c r="E21" s="359"/>
      <c r="F21" s="359"/>
      <c r="G21" s="359"/>
      <c r="H21" s="359"/>
      <c r="I21" s="359"/>
      <c r="J21" s="359"/>
      <c r="K21" s="360"/>
      <c r="L21" s="327">
        <v>7051</v>
      </c>
      <c r="M21" s="327"/>
      <c r="N21" s="327"/>
      <c r="O21" s="327"/>
      <c r="P21" s="325"/>
      <c r="Q21" s="325"/>
      <c r="R21" s="325"/>
      <c r="S21" s="325"/>
      <c r="T21" s="325"/>
      <c r="U21" s="325"/>
      <c r="V21" s="325"/>
      <c r="W21" s="325"/>
      <c r="X21" s="325"/>
      <c r="Y21" s="325"/>
      <c r="Z21" s="325"/>
      <c r="AA21" s="325"/>
      <c r="AB21" s="325"/>
      <c r="AC21" s="325"/>
      <c r="AD21" s="325"/>
      <c r="AE21" s="325"/>
    </row>
    <row r="22" spans="3:31" ht="15" customHeight="1" x14ac:dyDescent="0.3">
      <c r="C22" s="273" t="s">
        <v>610</v>
      </c>
      <c r="D22" s="285"/>
      <c r="E22" s="285"/>
      <c r="F22" s="285"/>
      <c r="G22" s="285"/>
      <c r="H22" s="285"/>
      <c r="I22" s="285"/>
      <c r="J22" s="285"/>
      <c r="K22" s="286"/>
      <c r="L22" s="361"/>
      <c r="M22" s="362"/>
      <c r="N22" s="362"/>
      <c r="O22" s="363"/>
      <c r="P22" s="2"/>
      <c r="Q22" s="2"/>
      <c r="R22" s="2"/>
      <c r="S22" s="2"/>
      <c r="T22" s="328"/>
      <c r="U22" s="328"/>
      <c r="V22" s="328"/>
      <c r="W22" s="328"/>
      <c r="X22" s="328"/>
      <c r="Y22" s="328"/>
      <c r="Z22" s="328"/>
      <c r="AA22" s="328"/>
      <c r="AB22" s="2"/>
      <c r="AC22" s="2"/>
      <c r="AD22" s="2"/>
      <c r="AE22" s="2"/>
    </row>
    <row r="23" spans="3:31" ht="15" customHeight="1" x14ac:dyDescent="0.3">
      <c r="C23" s="260" t="s">
        <v>619</v>
      </c>
      <c r="D23" s="277"/>
      <c r="E23" s="277"/>
      <c r="F23" s="277"/>
      <c r="G23" s="277"/>
      <c r="H23" s="277"/>
      <c r="I23" s="277"/>
      <c r="J23" s="277"/>
      <c r="K23" s="176"/>
      <c r="L23" s="353">
        <v>1</v>
      </c>
      <c r="M23" s="353"/>
      <c r="N23" s="353"/>
      <c r="O23" s="353"/>
      <c r="P23" s="353"/>
      <c r="Q23" s="353"/>
      <c r="R23" s="353"/>
      <c r="S23" s="353"/>
      <c r="T23" s="353"/>
      <c r="U23" s="353"/>
      <c r="V23" s="353"/>
      <c r="W23" s="353"/>
      <c r="X23" s="353"/>
      <c r="Y23" s="353"/>
      <c r="Z23" s="353"/>
      <c r="AA23" s="353"/>
      <c r="AB23" s="353"/>
      <c r="AC23" s="353"/>
      <c r="AD23" s="353"/>
      <c r="AE23" s="353"/>
    </row>
    <row r="24" spans="3:31" ht="15" customHeight="1" x14ac:dyDescent="0.3">
      <c r="C24" s="260" t="s">
        <v>604</v>
      </c>
      <c r="D24" s="277"/>
      <c r="E24" s="277"/>
      <c r="F24" s="277"/>
      <c r="G24" s="277"/>
      <c r="H24" s="277"/>
      <c r="I24" s="277"/>
      <c r="J24" s="277"/>
      <c r="K24" s="176"/>
      <c r="L24" s="295" t="s">
        <v>277</v>
      </c>
      <c r="M24" s="296"/>
      <c r="N24" s="296"/>
      <c r="O24" s="297"/>
      <c r="P24" s="295"/>
      <c r="Q24" s="296"/>
      <c r="R24" s="296"/>
      <c r="S24" s="297"/>
      <c r="T24" s="295"/>
      <c r="U24" s="296"/>
      <c r="V24" s="296"/>
      <c r="W24" s="297"/>
      <c r="X24" s="295"/>
      <c r="Y24" s="296"/>
      <c r="Z24" s="296"/>
      <c r="AA24" s="297"/>
      <c r="AB24" s="295"/>
      <c r="AC24" s="296"/>
      <c r="AD24" s="296"/>
      <c r="AE24" s="297"/>
    </row>
    <row r="25" spans="3:31" ht="15" customHeight="1" x14ac:dyDescent="0.3">
      <c r="C25" s="260" t="s">
        <v>605</v>
      </c>
      <c r="D25" s="277"/>
      <c r="E25" s="277"/>
      <c r="F25" s="277"/>
      <c r="G25" s="277"/>
      <c r="H25" s="277"/>
      <c r="I25" s="277"/>
      <c r="J25" s="277"/>
      <c r="K25" s="176"/>
      <c r="L25" s="364" t="s">
        <v>277</v>
      </c>
      <c r="M25" s="365"/>
      <c r="N25" s="365"/>
      <c r="O25" s="366"/>
      <c r="P25" s="364"/>
      <c r="Q25" s="365"/>
      <c r="R25" s="365"/>
      <c r="S25" s="366"/>
      <c r="T25" s="364"/>
      <c r="U25" s="365"/>
      <c r="V25" s="365"/>
      <c r="W25" s="366"/>
      <c r="X25" s="364"/>
      <c r="Y25" s="365"/>
      <c r="Z25" s="365"/>
      <c r="AA25" s="366"/>
      <c r="AB25" s="364"/>
      <c r="AC25" s="365"/>
      <c r="AD25" s="365"/>
      <c r="AE25" s="366"/>
    </row>
    <row r="26" spans="3:31" ht="15" customHeight="1" x14ac:dyDescent="0.3">
      <c r="C26" s="260" t="s">
        <v>606</v>
      </c>
      <c r="D26" s="277"/>
      <c r="E26" s="277"/>
      <c r="F26" s="277"/>
      <c r="G26" s="277"/>
      <c r="H26" s="277"/>
      <c r="I26" s="277"/>
      <c r="J26" s="277"/>
      <c r="K26" s="176"/>
      <c r="L26" s="295" t="s">
        <v>277</v>
      </c>
      <c r="M26" s="296"/>
      <c r="N26" s="296"/>
      <c r="O26" s="297"/>
      <c r="P26" s="295"/>
      <c r="Q26" s="296"/>
      <c r="R26" s="296"/>
      <c r="S26" s="297"/>
      <c r="T26" s="295"/>
      <c r="U26" s="296"/>
      <c r="V26" s="296"/>
      <c r="W26" s="297"/>
      <c r="X26" s="295"/>
      <c r="Y26" s="296"/>
      <c r="Z26" s="296"/>
      <c r="AA26" s="297"/>
      <c r="AB26" s="295"/>
      <c r="AC26" s="296"/>
      <c r="AD26" s="296"/>
      <c r="AE26" s="297"/>
    </row>
    <row r="27" spans="3:31" ht="15" customHeight="1" x14ac:dyDescent="0.3">
      <c r="C27" s="260" t="s">
        <v>588</v>
      </c>
      <c r="D27" s="277"/>
      <c r="E27" s="277"/>
      <c r="F27" s="277"/>
      <c r="G27" s="277"/>
      <c r="H27" s="277"/>
      <c r="I27" s="277"/>
      <c r="J27" s="277"/>
      <c r="K27" s="176"/>
      <c r="L27" s="327">
        <v>0</v>
      </c>
      <c r="M27" s="327"/>
      <c r="N27" s="327"/>
      <c r="O27" s="327"/>
      <c r="P27" s="327"/>
      <c r="Q27" s="327"/>
      <c r="R27" s="327"/>
      <c r="S27" s="327"/>
      <c r="T27" s="327"/>
      <c r="U27" s="327"/>
      <c r="V27" s="327"/>
      <c r="W27" s="327"/>
      <c r="X27" s="327"/>
      <c r="Y27" s="327"/>
      <c r="Z27" s="327"/>
      <c r="AA27" s="327"/>
      <c r="AB27" s="327"/>
      <c r="AC27" s="327"/>
      <c r="AD27" s="327"/>
      <c r="AE27" s="327"/>
    </row>
    <row r="28" spans="3:31" ht="15" customHeight="1" x14ac:dyDescent="0.3">
      <c r="C28" s="260" t="s">
        <v>589</v>
      </c>
      <c r="D28" s="277"/>
      <c r="E28" s="277"/>
      <c r="F28" s="277"/>
      <c r="G28" s="277"/>
      <c r="H28" s="277"/>
      <c r="I28" s="277"/>
      <c r="J28" s="277"/>
      <c r="K28" s="176"/>
      <c r="L28" s="327">
        <v>20</v>
      </c>
      <c r="M28" s="327"/>
      <c r="N28" s="327"/>
      <c r="O28" s="327"/>
      <c r="P28" s="327"/>
      <c r="Q28" s="327"/>
      <c r="R28" s="327"/>
      <c r="S28" s="327"/>
      <c r="T28" s="327"/>
      <c r="U28" s="327"/>
      <c r="V28" s="327"/>
      <c r="W28" s="327"/>
      <c r="X28" s="327"/>
      <c r="Y28" s="327"/>
      <c r="Z28" s="327"/>
      <c r="AA28" s="327"/>
      <c r="AB28" s="355"/>
      <c r="AC28" s="327"/>
      <c r="AD28" s="327"/>
      <c r="AE28" s="327"/>
    </row>
    <row r="29" spans="3:31" ht="15" customHeight="1" x14ac:dyDescent="0.3">
      <c r="C29" s="260" t="s">
        <v>590</v>
      </c>
      <c r="D29" s="277"/>
      <c r="E29" s="277"/>
      <c r="F29" s="277"/>
      <c r="G29" s="277"/>
      <c r="H29" s="277"/>
      <c r="I29" s="277"/>
      <c r="J29" s="277"/>
      <c r="K29" s="176"/>
      <c r="L29" s="327" t="s">
        <v>622</v>
      </c>
      <c r="M29" s="327"/>
      <c r="N29" s="327"/>
      <c r="O29" s="327"/>
      <c r="P29" s="327"/>
      <c r="Q29" s="327"/>
      <c r="R29" s="327"/>
      <c r="S29" s="327"/>
      <c r="T29" s="327"/>
      <c r="U29" s="327"/>
      <c r="V29" s="327"/>
      <c r="W29" s="327"/>
      <c r="X29" s="327"/>
      <c r="Y29" s="327"/>
      <c r="Z29" s="327"/>
      <c r="AA29" s="327"/>
      <c r="AB29" s="327"/>
      <c r="AC29" s="327"/>
      <c r="AD29" s="327"/>
      <c r="AE29" s="327"/>
    </row>
    <row r="30" spans="3:31" ht="15" customHeight="1" x14ac:dyDescent="0.3">
      <c r="C30" s="260" t="s">
        <v>591</v>
      </c>
      <c r="D30" s="277"/>
      <c r="E30" s="277"/>
      <c r="F30" s="277"/>
      <c r="G30" s="277"/>
      <c r="H30" s="277"/>
      <c r="I30" s="277"/>
      <c r="J30" s="277"/>
      <c r="K30" s="176"/>
      <c r="L30" s="327">
        <v>0</v>
      </c>
      <c r="M30" s="327"/>
      <c r="N30" s="327"/>
      <c r="O30" s="327"/>
      <c r="P30" s="327"/>
      <c r="Q30" s="327"/>
      <c r="R30" s="327"/>
      <c r="S30" s="327"/>
      <c r="T30" s="327"/>
      <c r="U30" s="327"/>
      <c r="V30" s="327"/>
      <c r="W30" s="327"/>
      <c r="X30" s="327"/>
      <c r="Y30" s="327"/>
      <c r="Z30" s="327"/>
      <c r="AA30" s="327"/>
      <c r="AB30" s="327"/>
      <c r="AC30" s="327"/>
      <c r="AD30" s="327"/>
      <c r="AE30" s="327"/>
    </row>
    <row r="31" spans="3:31" ht="15" customHeight="1" x14ac:dyDescent="0.3">
      <c r="C31" s="260" t="s">
        <v>592</v>
      </c>
      <c r="D31" s="277"/>
      <c r="E31" s="277"/>
      <c r="F31" s="277"/>
      <c r="G31" s="277"/>
      <c r="H31" s="277"/>
      <c r="I31" s="277"/>
      <c r="J31" s="277"/>
      <c r="K31" s="176"/>
      <c r="L31" s="327" t="s">
        <v>624</v>
      </c>
      <c r="M31" s="327"/>
      <c r="N31" s="327"/>
      <c r="O31" s="327"/>
      <c r="P31" s="327"/>
      <c r="Q31" s="327"/>
      <c r="R31" s="327"/>
      <c r="S31" s="327"/>
      <c r="T31" s="327"/>
      <c r="U31" s="327"/>
      <c r="V31" s="327"/>
      <c r="W31" s="327"/>
      <c r="X31" s="327"/>
      <c r="Y31" s="327"/>
      <c r="Z31" s="327"/>
      <c r="AA31" s="327"/>
      <c r="AB31" s="327"/>
      <c r="AC31" s="327"/>
      <c r="AD31" s="327"/>
      <c r="AE31" s="327"/>
    </row>
    <row r="32" spans="3:31" ht="15" customHeight="1" x14ac:dyDescent="0.3">
      <c r="C32" s="260" t="s">
        <v>593</v>
      </c>
      <c r="D32" s="277"/>
      <c r="E32" s="277"/>
      <c r="F32" s="277"/>
      <c r="G32" s="277"/>
      <c r="H32" s="277"/>
      <c r="I32" s="277"/>
      <c r="J32" s="277"/>
      <c r="K32" s="176"/>
      <c r="L32" s="327"/>
      <c r="M32" s="327"/>
      <c r="N32" s="327"/>
      <c r="O32" s="327"/>
      <c r="P32" s="327"/>
      <c r="Q32" s="327"/>
      <c r="R32" s="327"/>
      <c r="S32" s="327"/>
      <c r="T32" s="327"/>
      <c r="U32" s="327"/>
      <c r="V32" s="327"/>
      <c r="W32" s="327"/>
      <c r="X32" s="327"/>
      <c r="Y32" s="327"/>
      <c r="Z32" s="327"/>
      <c r="AA32" s="327"/>
      <c r="AB32" s="327"/>
      <c r="AC32" s="327"/>
      <c r="AD32" s="327"/>
      <c r="AE32" s="327"/>
    </row>
    <row r="33" spans="3:31" ht="15" customHeight="1" x14ac:dyDescent="0.3">
      <c r="C33" s="260" t="s">
        <v>597</v>
      </c>
      <c r="D33" s="277"/>
      <c r="E33" s="277"/>
      <c r="F33" s="277"/>
      <c r="G33" s="277"/>
      <c r="H33" s="277"/>
      <c r="I33" s="277"/>
      <c r="J33" s="277"/>
      <c r="K33" s="176"/>
      <c r="L33" s="295">
        <v>0</v>
      </c>
      <c r="M33" s="296"/>
      <c r="N33" s="296"/>
      <c r="O33" s="297"/>
      <c r="P33" s="295"/>
      <c r="Q33" s="296"/>
      <c r="R33" s="296"/>
      <c r="S33" s="297"/>
      <c r="T33" s="295"/>
      <c r="U33" s="296"/>
      <c r="V33" s="296"/>
      <c r="W33" s="297"/>
      <c r="X33" s="295"/>
      <c r="Y33" s="296"/>
      <c r="Z33" s="296"/>
      <c r="AA33" s="297"/>
      <c r="AB33" s="295"/>
      <c r="AC33" s="296"/>
      <c r="AD33" s="296"/>
      <c r="AE33" s="297"/>
    </row>
    <row r="34" spans="3:31" ht="15" customHeight="1" x14ac:dyDescent="0.3">
      <c r="C34" s="276" t="s">
        <v>598</v>
      </c>
      <c r="D34" s="277"/>
      <c r="E34" s="277"/>
      <c r="F34" s="277"/>
      <c r="G34" s="277"/>
      <c r="H34" s="277"/>
      <c r="I34" s="277"/>
      <c r="J34" s="277"/>
      <c r="K34" s="176"/>
      <c r="L34" s="295">
        <v>6</v>
      </c>
      <c r="M34" s="296"/>
      <c r="N34" s="296"/>
      <c r="O34" s="297"/>
      <c r="P34" s="295"/>
      <c r="Q34" s="296"/>
      <c r="R34" s="296"/>
      <c r="S34" s="297"/>
      <c r="T34" s="295"/>
      <c r="U34" s="296"/>
      <c r="V34" s="296"/>
      <c r="W34" s="297"/>
      <c r="X34" s="295"/>
      <c r="Y34" s="296"/>
      <c r="Z34" s="296"/>
      <c r="AA34" s="297"/>
      <c r="AB34" s="295"/>
      <c r="AC34" s="296"/>
      <c r="AD34" s="296"/>
      <c r="AE34" s="297"/>
    </row>
    <row r="35" spans="3:31" ht="15" customHeight="1" x14ac:dyDescent="0.3">
      <c r="C35" s="48" t="s">
        <v>599</v>
      </c>
      <c r="D35" s="277"/>
      <c r="E35" s="277"/>
      <c r="F35" s="277"/>
      <c r="G35" s="277"/>
      <c r="H35" s="277"/>
      <c r="I35" s="277"/>
      <c r="J35" s="277"/>
      <c r="K35" s="176"/>
      <c r="L35" s="295">
        <v>2</v>
      </c>
      <c r="M35" s="296"/>
      <c r="N35" s="296"/>
      <c r="O35" s="297"/>
      <c r="P35" s="295"/>
      <c r="Q35" s="296"/>
      <c r="R35" s="296"/>
      <c r="S35" s="297"/>
      <c r="T35" s="295"/>
      <c r="U35" s="296"/>
      <c r="V35" s="296"/>
      <c r="W35" s="297"/>
      <c r="X35" s="295"/>
      <c r="Y35" s="296"/>
      <c r="Z35" s="296"/>
      <c r="AA35" s="297"/>
      <c r="AB35" s="295"/>
      <c r="AC35" s="296"/>
      <c r="AD35" s="296"/>
      <c r="AE35" s="297"/>
    </row>
    <row r="36" spans="3:31" ht="15" customHeight="1" x14ac:dyDescent="0.3">
      <c r="C36" s="48" t="s">
        <v>601</v>
      </c>
      <c r="D36" s="277"/>
      <c r="E36" s="277"/>
      <c r="F36" s="277"/>
      <c r="G36" s="277"/>
      <c r="H36" s="277"/>
      <c r="I36" s="277"/>
      <c r="J36" s="277"/>
      <c r="K36" s="176"/>
      <c r="L36" s="295">
        <v>0</v>
      </c>
      <c r="M36" s="296"/>
      <c r="N36" s="296"/>
      <c r="O36" s="297"/>
      <c r="P36" s="295"/>
      <c r="Q36" s="296"/>
      <c r="R36" s="296"/>
      <c r="S36" s="297"/>
      <c r="T36" s="295"/>
      <c r="U36" s="296"/>
      <c r="V36" s="296"/>
      <c r="W36" s="297"/>
      <c r="X36" s="295"/>
      <c r="Y36" s="296"/>
      <c r="Z36" s="296"/>
      <c r="AA36" s="297"/>
      <c r="AB36" s="295"/>
      <c r="AC36" s="296"/>
      <c r="AD36" s="296"/>
      <c r="AE36" s="297"/>
    </row>
    <row r="37" spans="3:31" ht="15" customHeight="1" x14ac:dyDescent="0.3">
      <c r="C37" s="48" t="s">
        <v>600</v>
      </c>
      <c r="D37" s="277"/>
      <c r="E37" s="277"/>
      <c r="F37" s="277"/>
      <c r="G37" s="277"/>
      <c r="H37" s="277"/>
      <c r="I37" s="277"/>
      <c r="J37" s="277"/>
      <c r="K37" s="176"/>
      <c r="L37" s="295">
        <v>3</v>
      </c>
      <c r="M37" s="296"/>
      <c r="N37" s="296"/>
      <c r="O37" s="297"/>
      <c r="P37" s="295"/>
      <c r="Q37" s="296"/>
      <c r="R37" s="296"/>
      <c r="S37" s="297"/>
      <c r="T37" s="295"/>
      <c r="U37" s="296"/>
      <c r="V37" s="296"/>
      <c r="W37" s="297"/>
      <c r="X37" s="295"/>
      <c r="Y37" s="296"/>
      <c r="Z37" s="296"/>
      <c r="AA37" s="297"/>
      <c r="AB37" s="295"/>
      <c r="AC37" s="296"/>
      <c r="AD37" s="296"/>
      <c r="AE37" s="297"/>
    </row>
    <row r="38" spans="3:31" ht="15" customHeight="1" x14ac:dyDescent="0.3">
      <c r="C38" s="260" t="s">
        <v>594</v>
      </c>
      <c r="D38" s="277"/>
      <c r="E38" s="277"/>
      <c r="F38" s="277"/>
      <c r="G38" s="277"/>
      <c r="H38" s="277"/>
      <c r="I38" s="277"/>
      <c r="J38" s="277"/>
      <c r="K38" s="176"/>
      <c r="L38" s="298">
        <f>IF(AND(L33="",L34="",L35="",L36="",L37=""),"",IF(L33&gt;L37,L33,L37)+L34+L35+L36)</f>
        <v>11</v>
      </c>
      <c r="M38" s="354"/>
      <c r="N38" s="354"/>
      <c r="O38" s="299"/>
      <c r="P38" s="298" t="str">
        <f>IF(AND(P33="",P34="",P35="",P36="",P37=""),"",SUM(P33:S37))</f>
        <v/>
      </c>
      <c r="Q38" s="354"/>
      <c r="R38" s="354"/>
      <c r="S38" s="299"/>
      <c r="T38" s="298" t="str">
        <f>IF(AND(T33="",T34="",T35="",T36="",T37=""),"",SUM(T33:W37))</f>
        <v/>
      </c>
      <c r="U38" s="354"/>
      <c r="V38" s="354"/>
      <c r="W38" s="299"/>
      <c r="X38" s="298" t="str">
        <f>IF(AND(X33="",X34="",X35="",X36="",X37=""),"",SUM(X33:AA37))</f>
        <v/>
      </c>
      <c r="Y38" s="354"/>
      <c r="Z38" s="354"/>
      <c r="AA38" s="299"/>
      <c r="AB38" s="298" t="str">
        <f>IF(AND(AB33="",AB34="",AB35="",AB36="",AB37=""),"",SUM(AB33:AE37))</f>
        <v/>
      </c>
      <c r="AC38" s="354"/>
      <c r="AD38" s="354"/>
      <c r="AE38" s="299"/>
    </row>
    <row r="39" spans="3:31" x14ac:dyDescent="0.3">
      <c r="C39" s="195" t="s">
        <v>621</v>
      </c>
      <c r="AC39" s="2"/>
    </row>
    <row r="40" spans="3:31" ht="15" customHeight="1" x14ac:dyDescent="0.3"/>
    <row r="41" spans="3:31" ht="15" customHeight="1" x14ac:dyDescent="0.3"/>
    <row r="42" spans="3:31" ht="15" customHeight="1" x14ac:dyDescent="0.3"/>
    <row r="43" spans="3:31" ht="15" customHeight="1" x14ac:dyDescent="0.3"/>
    <row r="44" spans="3:31" ht="15" customHeight="1" x14ac:dyDescent="0.3"/>
    <row r="45" spans="3:31" ht="15" customHeight="1" x14ac:dyDescent="0.3"/>
    <row r="46" spans="3:31" ht="3.6" customHeight="1" x14ac:dyDescent="0.3"/>
  </sheetData>
  <sheetProtection algorithmName="SHA-512" hashValue="1NAImu2VELmvT0oIK0ILEbgtVHSG/dskN7JSp1ehvq/mVJvRUAdB26RYPig4O67q4YSQ8Q3Duo+2qAxaJp3nsQ==" saltValue="5f3P/lQdXt3UMjuIXLcg4g==" spinCount="100000" sheet="1" objects="1" selectLockedCells="1"/>
  <dataConsolidate/>
  <mergeCells count="149">
    <mergeCell ref="AC2:AF2"/>
    <mergeCell ref="AB26:AE26"/>
    <mergeCell ref="L22:O22"/>
    <mergeCell ref="T8:W8"/>
    <mergeCell ref="X8:AA8"/>
    <mergeCell ref="L25:O25"/>
    <mergeCell ref="P25:S25"/>
    <mergeCell ref="T25:W25"/>
    <mergeCell ref="X25:AA25"/>
    <mergeCell ref="AB25:AE25"/>
    <mergeCell ref="AB11:AE11"/>
    <mergeCell ref="AB12:AE12"/>
    <mergeCell ref="AB13:AE13"/>
    <mergeCell ref="AB14:AE14"/>
    <mergeCell ref="AB15:AE15"/>
    <mergeCell ref="AB16:AE16"/>
    <mergeCell ref="L24:O24"/>
    <mergeCell ref="P24:S24"/>
    <mergeCell ref="T24:W24"/>
    <mergeCell ref="X24:AA24"/>
    <mergeCell ref="X9:AA9"/>
    <mergeCell ref="X10:AA10"/>
    <mergeCell ref="X11:AA11"/>
    <mergeCell ref="X12:AA12"/>
    <mergeCell ref="L38:O38"/>
    <mergeCell ref="P38:S38"/>
    <mergeCell ref="T38:W38"/>
    <mergeCell ref="X38:AA38"/>
    <mergeCell ref="L31:O31"/>
    <mergeCell ref="P31:S31"/>
    <mergeCell ref="T31:W31"/>
    <mergeCell ref="X31:AA31"/>
    <mergeCell ref="L32:O32"/>
    <mergeCell ref="P32:S32"/>
    <mergeCell ref="T32:W32"/>
    <mergeCell ref="X32:AA32"/>
    <mergeCell ref="T37:W37"/>
    <mergeCell ref="X33:AA33"/>
    <mergeCell ref="X34:AA34"/>
    <mergeCell ref="X35:AA35"/>
    <mergeCell ref="X36:AA36"/>
    <mergeCell ref="X37:AA37"/>
    <mergeCell ref="L33:O33"/>
    <mergeCell ref="L34:O34"/>
    <mergeCell ref="L35:O35"/>
    <mergeCell ref="L36:O36"/>
    <mergeCell ref="L37:O37"/>
    <mergeCell ref="P33:S33"/>
    <mergeCell ref="L29:O29"/>
    <mergeCell ref="P29:S29"/>
    <mergeCell ref="AB30:AE30"/>
    <mergeCell ref="AB31:AE31"/>
    <mergeCell ref="AB32:AE32"/>
    <mergeCell ref="AB38:AE38"/>
    <mergeCell ref="L23:O23"/>
    <mergeCell ref="P23:S23"/>
    <mergeCell ref="T23:W23"/>
    <mergeCell ref="X23:AA23"/>
    <mergeCell ref="T29:W29"/>
    <mergeCell ref="X29:AA29"/>
    <mergeCell ref="L30:O30"/>
    <mergeCell ref="P30:S30"/>
    <mergeCell ref="T30:W30"/>
    <mergeCell ref="X30:AA30"/>
    <mergeCell ref="L27:O27"/>
    <mergeCell ref="P27:S27"/>
    <mergeCell ref="T27:W27"/>
    <mergeCell ref="X27:AA27"/>
    <mergeCell ref="L28:O28"/>
    <mergeCell ref="P28:S28"/>
    <mergeCell ref="T28:W28"/>
    <mergeCell ref="X28:AA28"/>
    <mergeCell ref="C21:K21"/>
    <mergeCell ref="L21:O21"/>
    <mergeCell ref="P21:S21"/>
    <mergeCell ref="T21:W21"/>
    <mergeCell ref="X21:AA21"/>
    <mergeCell ref="X17:AA17"/>
    <mergeCell ref="T16:W16"/>
    <mergeCell ref="T17:W17"/>
    <mergeCell ref="L26:O26"/>
    <mergeCell ref="P26:S26"/>
    <mergeCell ref="T22:W22"/>
    <mergeCell ref="X22:AA22"/>
    <mergeCell ref="T26:W26"/>
    <mergeCell ref="X26:AA26"/>
    <mergeCell ref="X13:AA13"/>
    <mergeCell ref="X14:AA14"/>
    <mergeCell ref="X15:AA15"/>
    <mergeCell ref="L16:O16"/>
    <mergeCell ref="O4:T4"/>
    <mergeCell ref="X16:AA16"/>
    <mergeCell ref="P16:S16"/>
    <mergeCell ref="P10:S10"/>
    <mergeCell ref="P11:S11"/>
    <mergeCell ref="P12:S12"/>
    <mergeCell ref="P13:S13"/>
    <mergeCell ref="P14:S14"/>
    <mergeCell ref="P15:S15"/>
    <mergeCell ref="T9:W9"/>
    <mergeCell ref="T10:W10"/>
    <mergeCell ref="A2:E2"/>
    <mergeCell ref="X2:AB2"/>
    <mergeCell ref="L17:O17"/>
    <mergeCell ref="L9:O9"/>
    <mergeCell ref="L10:O10"/>
    <mergeCell ref="L8:O8"/>
    <mergeCell ref="L11:O11"/>
    <mergeCell ref="L12:O12"/>
    <mergeCell ref="L13:O13"/>
    <mergeCell ref="L14:O14"/>
    <mergeCell ref="L15:O15"/>
    <mergeCell ref="T11:W11"/>
    <mergeCell ref="T12:W12"/>
    <mergeCell ref="T13:W13"/>
    <mergeCell ref="T14:W14"/>
    <mergeCell ref="T15:W15"/>
    <mergeCell ref="P8:S8"/>
    <mergeCell ref="P9:S9"/>
    <mergeCell ref="F2:P2"/>
    <mergeCell ref="R2:S2"/>
    <mergeCell ref="T2:V2"/>
    <mergeCell ref="A4:F4"/>
    <mergeCell ref="G4:K4"/>
    <mergeCell ref="M4:N4"/>
    <mergeCell ref="P34:S34"/>
    <mergeCell ref="P35:S35"/>
    <mergeCell ref="P36:S36"/>
    <mergeCell ref="P37:S37"/>
    <mergeCell ref="T33:W33"/>
    <mergeCell ref="T34:W34"/>
    <mergeCell ref="T35:W35"/>
    <mergeCell ref="T36:W36"/>
    <mergeCell ref="AB8:AE8"/>
    <mergeCell ref="AB9:AE9"/>
    <mergeCell ref="AB10:AE10"/>
    <mergeCell ref="P17:S17"/>
    <mergeCell ref="AB37:AE37"/>
    <mergeCell ref="AB17:AE17"/>
    <mergeCell ref="AB21:AE21"/>
    <mergeCell ref="AB23:AE23"/>
    <mergeCell ref="AB27:AE27"/>
    <mergeCell ref="AB28:AE28"/>
    <mergeCell ref="AB29:AE29"/>
    <mergeCell ref="AB33:AE33"/>
    <mergeCell ref="AB34:AE34"/>
    <mergeCell ref="AB35:AE35"/>
    <mergeCell ref="AB24:AE24"/>
    <mergeCell ref="AB36:AE36"/>
  </mergeCells>
  <conditionalFormatting sqref="AC2">
    <cfRule type="containsBlanks" dxfId="6" priority="2">
      <formula>LEN(TRIM(AC2))=0</formula>
    </cfRule>
  </conditionalFormatting>
  <conditionalFormatting sqref="F2:P2 T2:V2 AC2 G4:K4">
    <cfRule type="containsBlanks" dxfId="5" priority="1">
      <formula>LEN(TRIM(F2))=0</formula>
    </cfRule>
  </conditionalFormatting>
  <dataValidations count="1">
    <dataValidation operator="greaterThanOrEqual" showInputMessage="1" showErrorMessage="1" errorTitle="Date Not Entered" error="A date must be entered in the cell.  If a date cannot be verified, use the date 1/1/1900." sqref="L23:O23" xr:uid="{00000000-0002-0000-0C00-000000000000}"/>
  </dataValidations>
  <printOptions horizontalCentered="1"/>
  <pageMargins left="0.25" right="0.25" top="0.25" bottom="0.25" header="0" footer="0"/>
  <pageSetup scale="96" fitToHeight="5" orientation="landscape" r:id="rId1"/>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autoPageBreaks="0"/>
  </sheetPr>
  <dimension ref="A1:AR39"/>
  <sheetViews>
    <sheetView showGridLines="0" view="pageLayout" zoomScaleNormal="90" zoomScaleSheetLayoutView="110" workbookViewId="0">
      <selection activeCell="A37" sqref="A37:AR39"/>
    </sheetView>
  </sheetViews>
  <sheetFormatPr defaultColWidth="8.6640625" defaultRowHeight="14.4" x14ac:dyDescent="0.3"/>
  <cols>
    <col min="1" max="4" width="3.33203125" customWidth="1"/>
    <col min="5" max="16" width="3.109375" customWidth="1"/>
    <col min="17" max="17" width="1.109375" customWidth="1"/>
    <col min="18" max="22" width="3.109375" customWidth="1"/>
    <col min="23" max="23" width="1.109375" customWidth="1"/>
    <col min="24" max="28" width="3.33203125" customWidth="1"/>
    <col min="29" max="29" width="5.33203125" customWidth="1"/>
    <col min="30" max="30" width="3.33203125" customWidth="1"/>
    <col min="31" max="32" width="3.109375" customWidth="1"/>
    <col min="33" max="33" width="6.33203125" customWidth="1"/>
    <col min="34" max="34" width="3.109375" customWidth="1"/>
    <col min="35" max="35" width="1.109375" customWidth="1"/>
    <col min="36" max="38" width="3.109375" customWidth="1"/>
    <col min="39" max="39" width="4.109375" customWidth="1"/>
    <col min="40" max="43" width="3.109375" customWidth="1"/>
    <col min="44" max="44" width="1.33203125" customWidth="1"/>
    <col min="46" max="49" width="9.88671875" customWidth="1"/>
  </cols>
  <sheetData>
    <row r="1" spans="1:44" ht="39" customHeight="1" x14ac:dyDescent="0.3">
      <c r="AR1" s="183" t="s">
        <v>643</v>
      </c>
    </row>
    <row r="2" spans="1:44" x14ac:dyDescent="0.3">
      <c r="A2" s="356" t="s">
        <v>613</v>
      </c>
      <c r="B2" s="356"/>
      <c r="C2" s="356"/>
      <c r="D2" s="356"/>
      <c r="E2" s="356"/>
      <c r="F2" s="370" t="str">
        <f>IF(AND(PreemptionForm!B11="",PreemptionForm!B13=""),"",IF(PreemptionForm!B13="",PreemptionForm!B11,IF(PreemptionForm!B11="",PreemptionForm!B13,PreemptionForm!B11&amp;" at "&amp;PreemptionForm!B13)))</f>
        <v/>
      </c>
      <c r="G2" s="370"/>
      <c r="H2" s="370"/>
      <c r="I2" s="370"/>
      <c r="J2" s="370"/>
      <c r="K2" s="370"/>
      <c r="L2" s="370"/>
      <c r="M2" s="370"/>
      <c r="N2" s="370"/>
      <c r="O2" s="370"/>
      <c r="P2" s="370"/>
      <c r="R2" s="349" t="s">
        <v>574</v>
      </c>
      <c r="S2" s="349"/>
      <c r="T2" s="367" t="str">
        <f>IF(PreemptionForm!O15="","",PreemptionForm!O15)</f>
        <v/>
      </c>
      <c r="U2" s="367"/>
      <c r="V2" s="367"/>
      <c r="W2" t="s">
        <v>595</v>
      </c>
      <c r="AD2" s="367" t="str">
        <f>IF(PreemptionForm!O13="","",PreemptionForm!O13)</f>
        <v/>
      </c>
      <c r="AE2" s="367"/>
      <c r="AF2" s="367"/>
      <c r="AG2" s="367"/>
      <c r="AH2" s="325" t="s">
        <v>614</v>
      </c>
      <c r="AI2" s="325"/>
      <c r="AJ2" s="325"/>
      <c r="AK2" s="325"/>
      <c r="AL2" s="325"/>
      <c r="AM2" s="325"/>
      <c r="AN2" s="369" t="str">
        <f>Other!N1</f>
        <v>(800) 848-8715</v>
      </c>
      <c r="AO2" s="369"/>
      <c r="AP2" s="369"/>
      <c r="AQ2" s="369"/>
      <c r="AR2" s="369"/>
    </row>
    <row r="3" spans="1:44" ht="7.35" customHeight="1" x14ac:dyDescent="0.3">
      <c r="P3" s="198"/>
      <c r="Q3" s="188"/>
      <c r="R3" s="188"/>
      <c r="S3" s="188"/>
    </row>
    <row r="4" spans="1:44" ht="15" customHeight="1" x14ac:dyDescent="0.3">
      <c r="A4" s="356" t="s">
        <v>54</v>
      </c>
      <c r="B4" s="356"/>
      <c r="C4" s="356"/>
      <c r="D4" s="356"/>
      <c r="E4" s="356"/>
      <c r="F4" s="356"/>
      <c r="G4" s="367" t="str">
        <f>IF(PreemptionForm!B9="","",PreemptionForm!B9)</f>
        <v/>
      </c>
      <c r="H4" s="367"/>
      <c r="I4" s="367"/>
      <c r="J4" s="367"/>
      <c r="K4" s="367"/>
      <c r="M4" s="356" t="s">
        <v>0</v>
      </c>
      <c r="N4" s="356"/>
      <c r="O4" s="367" t="str">
        <f>IF(PreemptionForm!B5="","",PreemptionForm!B5)</f>
        <v/>
      </c>
      <c r="P4" s="367"/>
      <c r="Q4" s="367"/>
      <c r="R4" s="367"/>
      <c r="S4" s="367"/>
      <c r="T4" s="367"/>
      <c r="V4" s="356" t="s">
        <v>611</v>
      </c>
      <c r="W4" s="356"/>
      <c r="X4" s="356"/>
      <c r="Y4" s="356"/>
      <c r="Z4" s="356"/>
      <c r="AA4" s="356"/>
      <c r="AB4" s="367">
        <f>Other!V1</f>
        <v>7051</v>
      </c>
      <c r="AC4" s="367"/>
      <c r="AD4" s="367"/>
      <c r="AE4" s="367"/>
      <c r="AG4" s="356" t="s">
        <v>612</v>
      </c>
      <c r="AH4" s="356"/>
      <c r="AI4" s="356"/>
      <c r="AJ4" s="356"/>
      <c r="AK4" s="356"/>
      <c r="AL4" s="356"/>
      <c r="AM4" s="369" t="str">
        <f>Other!V2</f>
        <v/>
      </c>
      <c r="AN4" s="369"/>
      <c r="AO4" s="369"/>
      <c r="AP4" s="369"/>
      <c r="AQ4" s="369"/>
    </row>
    <row r="5" spans="1:44" ht="15" customHeight="1" x14ac:dyDescent="0.3">
      <c r="A5" s="27"/>
      <c r="B5" s="27"/>
      <c r="C5" s="27"/>
      <c r="D5" s="27"/>
      <c r="E5" s="27"/>
      <c r="F5" s="27"/>
      <c r="G5" s="27"/>
      <c r="H5" s="27"/>
    </row>
    <row r="6" spans="1:44" ht="15" customHeight="1" x14ac:dyDescent="0.3">
      <c r="L6" s="3"/>
    </row>
    <row r="7" spans="1:44" ht="15" customHeight="1" x14ac:dyDescent="0.3"/>
    <row r="8" spans="1:44" ht="15" customHeight="1" x14ac:dyDescent="0.3"/>
    <row r="9" spans="1:44" ht="15" customHeight="1" x14ac:dyDescent="0.3"/>
    <row r="10" spans="1:44" ht="15" customHeight="1" x14ac:dyDescent="0.3"/>
    <row r="11" spans="1:44" ht="15" customHeight="1" x14ac:dyDescent="0.3"/>
    <row r="12" spans="1:44" ht="15" customHeight="1" x14ac:dyDescent="0.3"/>
    <row r="13" spans="1:44" ht="15" customHeight="1" x14ac:dyDescent="0.3"/>
    <row r="14" spans="1:44" ht="15" customHeight="1" x14ac:dyDescent="0.3"/>
    <row r="15" spans="1:44" ht="15" customHeight="1" x14ac:dyDescent="0.3"/>
    <row r="16" spans="1:44" ht="15" customHeight="1" x14ac:dyDescent="0.3"/>
    <row r="17" spans="8:13" ht="15" customHeight="1" x14ac:dyDescent="0.3"/>
    <row r="18" spans="8:13" ht="15" customHeight="1" x14ac:dyDescent="0.3"/>
    <row r="19" spans="8:13" ht="15" customHeight="1" x14ac:dyDescent="0.3"/>
    <row r="20" spans="8:13" ht="15" customHeight="1" x14ac:dyDescent="0.3"/>
    <row r="21" spans="8:13" ht="15" customHeight="1" x14ac:dyDescent="0.3"/>
    <row r="22" spans="8:13" ht="15" customHeight="1" x14ac:dyDescent="0.3"/>
    <row r="23" spans="8:13" ht="15" customHeight="1" x14ac:dyDescent="0.3"/>
    <row r="24" spans="8:13" ht="15" customHeight="1" x14ac:dyDescent="0.3"/>
    <row r="25" spans="8:13" ht="15" customHeight="1" x14ac:dyDescent="0.3">
      <c r="H25" s="1"/>
      <c r="I25" s="1"/>
      <c r="J25" s="1"/>
      <c r="K25" s="1"/>
    </row>
    <row r="26" spans="8:13" ht="15" customHeight="1" x14ac:dyDescent="0.3">
      <c r="H26" s="216"/>
      <c r="I26" s="216"/>
      <c r="J26" s="216"/>
      <c r="K26" s="216"/>
      <c r="L26" s="194"/>
      <c r="M26" s="194"/>
    </row>
    <row r="27" spans="8:13" ht="15" customHeight="1" x14ac:dyDescent="0.3"/>
    <row r="28" spans="8:13" ht="15" customHeight="1" x14ac:dyDescent="0.3"/>
    <row r="29" spans="8:13" ht="15" customHeight="1" x14ac:dyDescent="0.3"/>
    <row r="30" spans="8:13" ht="15" customHeight="1" x14ac:dyDescent="0.3"/>
    <row r="31" spans="8:13" ht="15" customHeight="1" x14ac:dyDescent="0.3"/>
    <row r="32" spans="8:13" ht="15" customHeight="1" x14ac:dyDescent="0.3"/>
    <row r="33" spans="1:44" ht="15" customHeight="1" x14ac:dyDescent="0.3"/>
    <row r="34" spans="1:44" ht="15" customHeight="1" x14ac:dyDescent="0.3"/>
    <row r="35" spans="1:44" ht="3.6" customHeight="1" x14ac:dyDescent="0.3"/>
    <row r="36" spans="1:44" ht="15" customHeight="1" x14ac:dyDescent="0.3">
      <c r="A36" s="349" t="s">
        <v>576</v>
      </c>
      <c r="B36" s="349"/>
      <c r="C36" s="349"/>
      <c r="D36" s="349"/>
      <c r="E36" s="349"/>
    </row>
    <row r="37" spans="1:44" x14ac:dyDescent="0.3">
      <c r="A37" s="368"/>
      <c r="B37" s="368"/>
      <c r="C37" s="368"/>
      <c r="D37" s="368"/>
      <c r="E37" s="368"/>
      <c r="F37" s="368"/>
      <c r="G37" s="368"/>
      <c r="H37" s="368"/>
      <c r="I37" s="368"/>
      <c r="J37" s="368"/>
      <c r="K37" s="368"/>
      <c r="L37" s="368"/>
      <c r="M37" s="368"/>
      <c r="N37" s="368"/>
      <c r="O37" s="368"/>
      <c r="P37" s="368"/>
      <c r="Q37" s="368"/>
      <c r="R37" s="368"/>
      <c r="S37" s="368"/>
      <c r="T37" s="368"/>
      <c r="U37" s="368"/>
      <c r="V37" s="368"/>
      <c r="W37" s="368"/>
      <c r="X37" s="368"/>
      <c r="Y37" s="368"/>
      <c r="Z37" s="368"/>
      <c r="AA37" s="368"/>
      <c r="AB37" s="368"/>
      <c r="AC37" s="368"/>
      <c r="AD37" s="368"/>
      <c r="AE37" s="368"/>
      <c r="AF37" s="368"/>
      <c r="AG37" s="368"/>
      <c r="AH37" s="368"/>
      <c r="AI37" s="368"/>
      <c r="AJ37" s="368"/>
      <c r="AK37" s="368"/>
      <c r="AL37" s="368"/>
      <c r="AM37" s="368"/>
      <c r="AN37" s="368"/>
      <c r="AO37" s="368"/>
      <c r="AP37" s="368"/>
      <c r="AQ37" s="368"/>
      <c r="AR37" s="368"/>
    </row>
    <row r="38" spans="1:44" x14ac:dyDescent="0.3">
      <c r="A38" s="368"/>
      <c r="B38" s="368"/>
      <c r="C38" s="368"/>
      <c r="D38" s="368"/>
      <c r="E38" s="368"/>
      <c r="F38" s="368"/>
      <c r="G38" s="368"/>
      <c r="H38" s="368"/>
      <c r="I38" s="368"/>
      <c r="J38" s="368"/>
      <c r="K38" s="368"/>
      <c r="L38" s="368"/>
      <c r="M38" s="368"/>
      <c r="N38" s="368"/>
      <c r="O38" s="368"/>
      <c r="P38" s="368"/>
      <c r="Q38" s="368"/>
      <c r="R38" s="368"/>
      <c r="S38" s="368"/>
      <c r="T38" s="368"/>
      <c r="U38" s="368"/>
      <c r="V38" s="368"/>
      <c r="W38" s="368"/>
      <c r="X38" s="368"/>
      <c r="Y38" s="368"/>
      <c r="Z38" s="368"/>
      <c r="AA38" s="368"/>
      <c r="AB38" s="368"/>
      <c r="AC38" s="368"/>
      <c r="AD38" s="368"/>
      <c r="AE38" s="368"/>
      <c r="AF38" s="368"/>
      <c r="AG38" s="368"/>
      <c r="AH38" s="368"/>
      <c r="AI38" s="368"/>
      <c r="AJ38" s="368"/>
      <c r="AK38" s="368"/>
      <c r="AL38" s="368"/>
      <c r="AM38" s="368"/>
      <c r="AN38" s="368"/>
      <c r="AO38" s="368"/>
      <c r="AP38" s="368"/>
      <c r="AQ38" s="368"/>
      <c r="AR38" s="368"/>
    </row>
    <row r="39" spans="1:44" x14ac:dyDescent="0.3">
      <c r="A39" s="368"/>
      <c r="B39" s="368"/>
      <c r="C39" s="368"/>
      <c r="D39" s="368"/>
      <c r="E39" s="368"/>
      <c r="F39" s="368"/>
      <c r="G39" s="368"/>
      <c r="H39" s="368"/>
      <c r="I39" s="368"/>
      <c r="J39" s="368"/>
      <c r="K39" s="368"/>
      <c r="L39" s="368"/>
      <c r="M39" s="368"/>
      <c r="N39" s="368"/>
      <c r="O39" s="368"/>
      <c r="P39" s="368"/>
      <c r="Q39" s="368"/>
      <c r="R39" s="368"/>
      <c r="S39" s="368"/>
      <c r="T39" s="368"/>
      <c r="U39" s="368"/>
      <c r="V39" s="368"/>
      <c r="W39" s="368"/>
      <c r="X39" s="368"/>
      <c r="Y39" s="368"/>
      <c r="Z39" s="368"/>
      <c r="AA39" s="368"/>
      <c r="AB39" s="368"/>
      <c r="AC39" s="368"/>
      <c r="AD39" s="368"/>
      <c r="AE39" s="368"/>
      <c r="AF39" s="368"/>
      <c r="AG39" s="368"/>
      <c r="AH39" s="368"/>
      <c r="AI39" s="368"/>
      <c r="AJ39" s="368"/>
      <c r="AK39" s="368"/>
      <c r="AL39" s="368"/>
      <c r="AM39" s="368"/>
      <c r="AN39" s="368"/>
      <c r="AO39" s="368"/>
      <c r="AP39" s="368"/>
      <c r="AQ39" s="368"/>
      <c r="AR39" s="368"/>
    </row>
  </sheetData>
  <sheetProtection algorithmName="SHA-512" hashValue="L3oXGSBU8aml6IQvE/p4VjGwgjdE2/08gehhP0Gg9EyLIztozd/rd3CjCRvAhEeQ6QZyFTmqDxh7flW2BnALXw==" saltValue="vTZhaScSZamRVCaYKqSeqA==" spinCount="100000" sheet="1" objects="1" selectLockedCells="1"/>
  <dataConsolidate/>
  <mergeCells count="17">
    <mergeCell ref="A37:AR39"/>
    <mergeCell ref="AN2:AR2"/>
    <mergeCell ref="A4:F4"/>
    <mergeCell ref="G4:K4"/>
    <mergeCell ref="M4:N4"/>
    <mergeCell ref="O4:T4"/>
    <mergeCell ref="V4:AA4"/>
    <mergeCell ref="AB4:AE4"/>
    <mergeCell ref="AG4:AL4"/>
    <mergeCell ref="AM4:AQ4"/>
    <mergeCell ref="A2:E2"/>
    <mergeCell ref="F2:P2"/>
    <mergeCell ref="R2:S2"/>
    <mergeCell ref="AH2:AM2"/>
    <mergeCell ref="AD2:AG2"/>
    <mergeCell ref="T2:V2"/>
    <mergeCell ref="A36:E36"/>
  </mergeCells>
  <conditionalFormatting sqref="AD2">
    <cfRule type="containsBlanks" dxfId="4" priority="2">
      <formula>LEN(TRIM(AD2))=0</formula>
    </cfRule>
  </conditionalFormatting>
  <conditionalFormatting sqref="F2:P2 T2 AD2 G4:K4">
    <cfRule type="containsBlanks" dxfId="3" priority="1">
      <formula>LEN(TRIM(F2))=0</formula>
    </cfRule>
  </conditionalFormatting>
  <printOptions horizontalCentered="1"/>
  <pageMargins left="0.25" right="0.25" top="0.25" bottom="0.25" header="0" footer="0"/>
  <pageSetup scale="95" fitToHeight="5"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autoPageBreaks="0"/>
  </sheetPr>
  <dimension ref="A1:AR39"/>
  <sheetViews>
    <sheetView showGridLines="0" view="pageLayout" topLeftCell="A13" zoomScale="115" zoomScaleNormal="90" zoomScaleSheetLayoutView="110" zoomScalePageLayoutView="115" workbookViewId="0">
      <selection activeCell="A37" sqref="A37:AR39"/>
    </sheetView>
  </sheetViews>
  <sheetFormatPr defaultColWidth="8.33203125" defaultRowHeight="14.4" x14ac:dyDescent="0.3"/>
  <cols>
    <col min="1" max="4" width="3.33203125" customWidth="1"/>
    <col min="5" max="16" width="3.109375" customWidth="1"/>
    <col min="17" max="17" width="1.109375" customWidth="1"/>
    <col min="18" max="22" width="3.109375" customWidth="1"/>
    <col min="23" max="23" width="1.109375" customWidth="1"/>
    <col min="24" max="28" width="3.33203125" customWidth="1"/>
    <col min="29" max="29" width="4.88671875" customWidth="1"/>
    <col min="30" max="30" width="3.33203125" customWidth="1"/>
    <col min="31" max="32" width="3.109375" customWidth="1"/>
    <col min="33" max="33" width="6.88671875" customWidth="1"/>
    <col min="34" max="34" width="3.109375" customWidth="1"/>
    <col min="35" max="35" width="1.109375" customWidth="1"/>
    <col min="36" max="38" width="3.109375" customWidth="1"/>
    <col min="39" max="39" width="3.88671875" customWidth="1"/>
    <col min="40" max="44" width="3.109375" customWidth="1"/>
    <col min="46" max="49" width="9.88671875" customWidth="1"/>
  </cols>
  <sheetData>
    <row r="1" spans="1:44" ht="39" customHeight="1" x14ac:dyDescent="0.3">
      <c r="AR1" s="183" t="s">
        <v>644</v>
      </c>
    </row>
    <row r="2" spans="1:44" x14ac:dyDescent="0.3">
      <c r="A2" s="356" t="s">
        <v>613</v>
      </c>
      <c r="B2" s="356"/>
      <c r="C2" s="356"/>
      <c r="D2" s="356"/>
      <c r="E2" s="356"/>
      <c r="F2" s="370" t="str">
        <f>IF(AND(PreemptionForm!B11="",PreemptionForm!B13=""),"",IF(PreemptionForm!B13="",PreemptionForm!B11,IF(PreemptionForm!B11="",PreemptionForm!B13,PreemptionForm!B11&amp;" at "&amp;PreemptionForm!B13)))</f>
        <v/>
      </c>
      <c r="G2" s="370"/>
      <c r="H2" s="370"/>
      <c r="I2" s="370"/>
      <c r="J2" s="370"/>
      <c r="K2" s="370"/>
      <c r="L2" s="370"/>
      <c r="M2" s="370"/>
      <c r="N2" s="370"/>
      <c r="O2" s="370"/>
      <c r="P2" s="370"/>
      <c r="R2" s="349" t="s">
        <v>574</v>
      </c>
      <c r="S2" s="349"/>
      <c r="T2" s="367" t="str">
        <f>IF(PreemptionForm!O15="","",PreemptionForm!O15)</f>
        <v/>
      </c>
      <c r="U2" s="367"/>
      <c r="V2" s="367"/>
      <c r="W2" t="s">
        <v>595</v>
      </c>
      <c r="AD2" s="367" t="str">
        <f>IF(PreemptionForm!O13="","",PreemptionForm!O13)</f>
        <v/>
      </c>
      <c r="AE2" s="367"/>
      <c r="AF2" s="367"/>
      <c r="AG2" s="367"/>
      <c r="AH2" s="325" t="s">
        <v>614</v>
      </c>
      <c r="AI2" s="325"/>
      <c r="AJ2" s="325"/>
      <c r="AK2" s="325"/>
      <c r="AL2" s="325"/>
      <c r="AM2" s="325"/>
      <c r="AN2" s="369" t="str">
        <f>Other!N1</f>
        <v>(800) 848-8715</v>
      </c>
      <c r="AO2" s="369"/>
      <c r="AP2" s="369"/>
      <c r="AQ2" s="369"/>
      <c r="AR2" s="369"/>
    </row>
    <row r="3" spans="1:44" ht="7.35" customHeight="1" x14ac:dyDescent="0.3">
      <c r="P3" s="198"/>
      <c r="Q3" s="188"/>
      <c r="R3" s="188"/>
      <c r="S3" s="188"/>
    </row>
    <row r="4" spans="1:44" ht="15" customHeight="1" x14ac:dyDescent="0.3">
      <c r="A4" s="356" t="s">
        <v>54</v>
      </c>
      <c r="B4" s="356"/>
      <c r="C4" s="356"/>
      <c r="D4" s="356"/>
      <c r="E4" s="356"/>
      <c r="F4" s="356"/>
      <c r="G4" s="367" t="str">
        <f>IF(PreemptionForm!B9="","",PreemptionForm!B9)</f>
        <v/>
      </c>
      <c r="H4" s="367"/>
      <c r="I4" s="367"/>
      <c r="J4" s="367"/>
      <c r="K4" s="367"/>
      <c r="M4" s="356" t="s">
        <v>0</v>
      </c>
      <c r="N4" s="356"/>
      <c r="O4" s="367" t="str">
        <f>IF(PreemptionForm!B5="","",PreemptionForm!B5)</f>
        <v/>
      </c>
      <c r="P4" s="367"/>
      <c r="Q4" s="367"/>
      <c r="R4" s="367"/>
      <c r="S4" s="367"/>
      <c r="T4" s="367"/>
      <c r="V4" s="356" t="s">
        <v>611</v>
      </c>
      <c r="W4" s="356"/>
      <c r="X4" s="356"/>
      <c r="Y4" s="356"/>
      <c r="Z4" s="356"/>
      <c r="AA4" s="356"/>
      <c r="AB4" s="367">
        <f>Other!V1</f>
        <v>7051</v>
      </c>
      <c r="AC4" s="367"/>
      <c r="AD4" s="367"/>
      <c r="AE4" s="367"/>
      <c r="AG4" s="356" t="s">
        <v>612</v>
      </c>
      <c r="AH4" s="356"/>
      <c r="AI4" s="356"/>
      <c r="AJ4" s="356"/>
      <c r="AK4" s="356"/>
      <c r="AL4" s="356"/>
      <c r="AM4" s="369" t="str">
        <f>Other!V2</f>
        <v/>
      </c>
      <c r="AN4" s="369"/>
      <c r="AO4" s="369"/>
      <c r="AP4" s="369"/>
      <c r="AQ4" s="369"/>
    </row>
    <row r="5" spans="1:44" ht="15" customHeight="1" x14ac:dyDescent="0.3">
      <c r="A5" s="27"/>
      <c r="B5" s="27"/>
      <c r="C5" s="27"/>
      <c r="D5" s="27"/>
      <c r="E5" s="27"/>
      <c r="F5" s="27"/>
      <c r="G5" s="27"/>
      <c r="H5" s="27"/>
    </row>
    <row r="6" spans="1:44" ht="15" customHeight="1" x14ac:dyDescent="0.3">
      <c r="L6" s="3"/>
    </row>
    <row r="7" spans="1:44" ht="15" customHeight="1" x14ac:dyDescent="0.3"/>
    <row r="8" spans="1:44" ht="15" customHeight="1" x14ac:dyDescent="0.3"/>
    <row r="9" spans="1:44" ht="15" customHeight="1" x14ac:dyDescent="0.3"/>
    <row r="10" spans="1:44" ht="15" customHeight="1" x14ac:dyDescent="0.3"/>
    <row r="11" spans="1:44" ht="15" customHeight="1" x14ac:dyDescent="0.3"/>
    <row r="12" spans="1:44" ht="15" customHeight="1" x14ac:dyDescent="0.3"/>
    <row r="13" spans="1:44" ht="15" customHeight="1" x14ac:dyDescent="0.3"/>
    <row r="14" spans="1:44" ht="15" customHeight="1" x14ac:dyDescent="0.3"/>
    <row r="15" spans="1:44" ht="15" customHeight="1" x14ac:dyDescent="0.3"/>
    <row r="16" spans="1:44" ht="15" customHeight="1" x14ac:dyDescent="0.3"/>
    <row r="17" spans="8:13" ht="15" customHeight="1" x14ac:dyDescent="0.3"/>
    <row r="18" spans="8:13" ht="15" customHeight="1" x14ac:dyDescent="0.3"/>
    <row r="19" spans="8:13" ht="15" customHeight="1" x14ac:dyDescent="0.3"/>
    <row r="20" spans="8:13" ht="15" customHeight="1" x14ac:dyDescent="0.3"/>
    <row r="21" spans="8:13" ht="15" customHeight="1" x14ac:dyDescent="0.3"/>
    <row r="22" spans="8:13" ht="15" customHeight="1" x14ac:dyDescent="0.3"/>
    <row r="23" spans="8:13" ht="15" customHeight="1" x14ac:dyDescent="0.3"/>
    <row r="24" spans="8:13" ht="15" customHeight="1" x14ac:dyDescent="0.3"/>
    <row r="25" spans="8:13" ht="15" customHeight="1" x14ac:dyDescent="0.3">
      <c r="H25" s="1"/>
      <c r="I25" s="1"/>
      <c r="J25" s="1"/>
      <c r="K25" s="1"/>
    </row>
    <row r="26" spans="8:13" ht="15" customHeight="1" x14ac:dyDescent="0.3">
      <c r="H26" s="216"/>
      <c r="I26" s="216"/>
      <c r="J26" s="216"/>
      <c r="K26" s="216"/>
      <c r="L26" s="194"/>
      <c r="M26" s="194"/>
    </row>
    <row r="27" spans="8:13" ht="15" customHeight="1" x14ac:dyDescent="0.3"/>
    <row r="28" spans="8:13" ht="15" customHeight="1" x14ac:dyDescent="0.3"/>
    <row r="29" spans="8:13" ht="15" customHeight="1" x14ac:dyDescent="0.3"/>
    <row r="30" spans="8:13" ht="15" customHeight="1" x14ac:dyDescent="0.3"/>
    <row r="31" spans="8:13" ht="15" customHeight="1" x14ac:dyDescent="0.3"/>
    <row r="32" spans="8:13" ht="15" customHeight="1" x14ac:dyDescent="0.3"/>
    <row r="33" spans="1:44" ht="15" customHeight="1" x14ac:dyDescent="0.3"/>
    <row r="34" spans="1:44" ht="15" customHeight="1" x14ac:dyDescent="0.3"/>
    <row r="35" spans="1:44" ht="3.6" customHeight="1" x14ac:dyDescent="0.3"/>
    <row r="36" spans="1:44" ht="15" customHeight="1" x14ac:dyDescent="0.3">
      <c r="A36" s="349" t="s">
        <v>576</v>
      </c>
      <c r="B36" s="349"/>
      <c r="C36" s="349"/>
      <c r="D36" s="349"/>
      <c r="E36" s="349"/>
    </row>
    <row r="37" spans="1:44" x14ac:dyDescent="0.3">
      <c r="A37" s="368"/>
      <c r="B37" s="368"/>
      <c r="C37" s="368"/>
      <c r="D37" s="368"/>
      <c r="E37" s="368"/>
      <c r="F37" s="368"/>
      <c r="G37" s="368"/>
      <c r="H37" s="368"/>
      <c r="I37" s="368"/>
      <c r="J37" s="368"/>
      <c r="K37" s="368"/>
      <c r="L37" s="368"/>
      <c r="M37" s="368"/>
      <c r="N37" s="368"/>
      <c r="O37" s="368"/>
      <c r="P37" s="368"/>
      <c r="Q37" s="368"/>
      <c r="R37" s="368"/>
      <c r="S37" s="368"/>
      <c r="T37" s="368"/>
      <c r="U37" s="368"/>
      <c r="V37" s="368"/>
      <c r="W37" s="368"/>
      <c r="X37" s="368"/>
      <c r="Y37" s="368"/>
      <c r="Z37" s="368"/>
      <c r="AA37" s="368"/>
      <c r="AB37" s="368"/>
      <c r="AC37" s="368"/>
      <c r="AD37" s="368"/>
      <c r="AE37" s="368"/>
      <c r="AF37" s="368"/>
      <c r="AG37" s="368"/>
      <c r="AH37" s="368"/>
      <c r="AI37" s="368"/>
      <c r="AJ37" s="368"/>
      <c r="AK37" s="368"/>
      <c r="AL37" s="368"/>
      <c r="AM37" s="368"/>
      <c r="AN37" s="368"/>
      <c r="AO37" s="368"/>
      <c r="AP37" s="368"/>
      <c r="AQ37" s="368"/>
      <c r="AR37" s="368"/>
    </row>
    <row r="38" spans="1:44" x14ac:dyDescent="0.3">
      <c r="A38" s="368"/>
      <c r="B38" s="368"/>
      <c r="C38" s="368"/>
      <c r="D38" s="368"/>
      <c r="E38" s="368"/>
      <c r="F38" s="368"/>
      <c r="G38" s="368"/>
      <c r="H38" s="368"/>
      <c r="I38" s="368"/>
      <c r="J38" s="368"/>
      <c r="K38" s="368"/>
      <c r="L38" s="368"/>
      <c r="M38" s="368"/>
      <c r="N38" s="368"/>
      <c r="O38" s="368"/>
      <c r="P38" s="368"/>
      <c r="Q38" s="368"/>
      <c r="R38" s="368"/>
      <c r="S38" s="368"/>
      <c r="T38" s="368"/>
      <c r="U38" s="368"/>
      <c r="V38" s="368"/>
      <c r="W38" s="368"/>
      <c r="X38" s="368"/>
      <c r="Y38" s="368"/>
      <c r="Z38" s="368"/>
      <c r="AA38" s="368"/>
      <c r="AB38" s="368"/>
      <c r="AC38" s="368"/>
      <c r="AD38" s="368"/>
      <c r="AE38" s="368"/>
      <c r="AF38" s="368"/>
      <c r="AG38" s="368"/>
      <c r="AH38" s="368"/>
      <c r="AI38" s="368"/>
      <c r="AJ38" s="368"/>
      <c r="AK38" s="368"/>
      <c r="AL38" s="368"/>
      <c r="AM38" s="368"/>
      <c r="AN38" s="368"/>
      <c r="AO38" s="368"/>
      <c r="AP38" s="368"/>
      <c r="AQ38" s="368"/>
      <c r="AR38" s="368"/>
    </row>
    <row r="39" spans="1:44" x14ac:dyDescent="0.3">
      <c r="A39" s="368"/>
      <c r="B39" s="368"/>
      <c r="C39" s="368"/>
      <c r="D39" s="368"/>
      <c r="E39" s="368"/>
      <c r="F39" s="368"/>
      <c r="G39" s="368"/>
      <c r="H39" s="368"/>
      <c r="I39" s="368"/>
      <c r="J39" s="368"/>
      <c r="K39" s="368"/>
      <c r="L39" s="368"/>
      <c r="M39" s="368"/>
      <c r="N39" s="368"/>
      <c r="O39" s="368"/>
      <c r="P39" s="368"/>
      <c r="Q39" s="368"/>
      <c r="R39" s="368"/>
      <c r="S39" s="368"/>
      <c r="T39" s="368"/>
      <c r="U39" s="368"/>
      <c r="V39" s="368"/>
      <c r="W39" s="368"/>
      <c r="X39" s="368"/>
      <c r="Y39" s="368"/>
      <c r="Z39" s="368"/>
      <c r="AA39" s="368"/>
      <c r="AB39" s="368"/>
      <c r="AC39" s="368"/>
      <c r="AD39" s="368"/>
      <c r="AE39" s="368"/>
      <c r="AF39" s="368"/>
      <c r="AG39" s="368"/>
      <c r="AH39" s="368"/>
      <c r="AI39" s="368"/>
      <c r="AJ39" s="368"/>
      <c r="AK39" s="368"/>
      <c r="AL39" s="368"/>
      <c r="AM39" s="368"/>
      <c r="AN39" s="368"/>
      <c r="AO39" s="368"/>
      <c r="AP39" s="368"/>
      <c r="AQ39" s="368"/>
      <c r="AR39" s="368"/>
    </row>
  </sheetData>
  <sheetProtection algorithmName="SHA-512" hashValue="oYx6m30VZHA8LrUTIRdQV7FFujcxVhjH+4F0MNRLw0yqp7p6vz+/0lEVEryHE9pMh1jqTcNsTi2MPLeSSt5rxw==" saltValue="OxBrmJT8uTVZdw95y4rMqg==" spinCount="100000" sheet="1" objects="1" selectLockedCells="1"/>
  <dataConsolidate/>
  <mergeCells count="17">
    <mergeCell ref="AM4:AQ4"/>
    <mergeCell ref="AH2:AM2"/>
    <mergeCell ref="AD2:AG2"/>
    <mergeCell ref="AN2:AR2"/>
    <mergeCell ref="A37:AR39"/>
    <mergeCell ref="A2:E2"/>
    <mergeCell ref="F2:P2"/>
    <mergeCell ref="R2:S2"/>
    <mergeCell ref="T2:V2"/>
    <mergeCell ref="A4:F4"/>
    <mergeCell ref="G4:K4"/>
    <mergeCell ref="M4:N4"/>
    <mergeCell ref="O4:T4"/>
    <mergeCell ref="A36:E36"/>
    <mergeCell ref="V4:AA4"/>
    <mergeCell ref="AB4:AE4"/>
    <mergeCell ref="AG4:AL4"/>
  </mergeCells>
  <conditionalFormatting sqref="F2:P2 T2 G4:K4">
    <cfRule type="containsBlanks" dxfId="2" priority="3">
      <formula>LEN(TRIM(F2))=0</formula>
    </cfRule>
  </conditionalFormatting>
  <conditionalFormatting sqref="AD2">
    <cfRule type="containsBlanks" dxfId="1" priority="2">
      <formula>LEN(TRIM(AD2))=0</formula>
    </cfRule>
  </conditionalFormatting>
  <conditionalFormatting sqref="AD2">
    <cfRule type="containsBlanks" dxfId="0" priority="1">
      <formula>LEN(TRIM(AD2))=0</formula>
    </cfRule>
  </conditionalFormatting>
  <printOptions horizontalCentered="1"/>
  <pageMargins left="0.25" right="0.25" top="0.25" bottom="0.25" header="0" footer="0"/>
  <pageSetup scale="95" fitToHeight="5"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AA19"/>
  <sheetViews>
    <sheetView showGridLines="0" topLeftCell="I1" zoomScale="80" zoomScaleNormal="80" workbookViewId="0">
      <selection activeCell="I3" sqref="I3"/>
    </sheetView>
  </sheetViews>
  <sheetFormatPr defaultRowHeight="14.4" x14ac:dyDescent="0.3"/>
  <cols>
    <col min="1" max="1" width="10.6640625" customWidth="1"/>
    <col min="2" max="2" width="17.6640625" customWidth="1"/>
    <col min="3" max="3" width="15.109375" customWidth="1"/>
    <col min="4" max="5" width="9.109375" customWidth="1"/>
    <col min="6" max="6" width="15.44140625" customWidth="1"/>
    <col min="7" max="7" width="20.33203125" customWidth="1"/>
    <col min="8" max="8" width="15.44140625" customWidth="1"/>
    <col min="9" max="9" width="15.109375" customWidth="1"/>
    <col min="10" max="10" width="9.109375" customWidth="1"/>
    <col min="11" max="12" width="31" customWidth="1"/>
    <col min="13" max="13" width="16.6640625" customWidth="1"/>
    <col min="14" max="19" width="16.109375" customWidth="1"/>
    <col min="20" max="20" width="23.109375" customWidth="1"/>
    <col min="21" max="21" width="15.6640625" customWidth="1"/>
    <col min="22" max="24" width="16.109375" customWidth="1"/>
    <col min="25" max="25" width="16.33203125" customWidth="1"/>
    <col min="26" max="26" width="15.109375" customWidth="1"/>
    <col min="27" max="27" width="14.109375" customWidth="1"/>
  </cols>
  <sheetData>
    <row r="1" spans="1:27" ht="60" customHeight="1" x14ac:dyDescent="0.3">
      <c r="A1" s="48"/>
      <c r="B1" s="49" t="s">
        <v>64</v>
      </c>
      <c r="C1" s="50" t="s">
        <v>67</v>
      </c>
      <c r="E1" s="48" t="s">
        <v>22</v>
      </c>
      <c r="K1" s="260"/>
      <c r="L1" s="48" t="s">
        <v>608</v>
      </c>
      <c r="M1" s="282"/>
      <c r="N1" s="288" t="str">
        <f>'Exhibit Data'!L8</f>
        <v>(800) 848-8715</v>
      </c>
      <c r="Q1" s="278" t="str">
        <f t="shared" ref="Q1:Q9" si="0">IF(AND(NOT($P$2=""),NOT($O$2=""),NOT($N$2="")),$P2,IF(AND(NOT($N$2=""),NOT($O$2="")),$O2,IF(NOT($N$2=""),$N2,"")))</f>
        <v>Existing 6/1/16</v>
      </c>
      <c r="R1" s="278" t="str">
        <f t="shared" ref="R1:R9" si="1">IF(AND(NOT($P$2=""),NOT($O$2=""),NOT($N$2="")),$O2,IF(AND(NOT($N$2=""),NOT($O$2="")),$N2,IF(NOT($N$2=""),"","")))</f>
        <v/>
      </c>
      <c r="S1" s="275" t="str">
        <f t="shared" ref="S1:S9" si="2">IF(AND(NOT($P$2=""),NOT($O$2=""),NOT($N$2="")),$N2,IF(AND(NOT($N$2=""),NOT($O$2="")),"",IF(NOT($N$2=""),"","")))</f>
        <v/>
      </c>
      <c r="T1" s="277" t="s">
        <v>607</v>
      </c>
      <c r="U1" s="284"/>
      <c r="V1" s="48">
        <f>'Exhibit Data'!$L$21</f>
        <v>7051</v>
      </c>
    </row>
    <row r="2" spans="1:27" ht="60" customHeight="1" x14ac:dyDescent="0.3">
      <c r="A2" s="48"/>
      <c r="B2" s="49" t="s">
        <v>58</v>
      </c>
      <c r="C2" s="50" t="s">
        <v>68</v>
      </c>
      <c r="E2" s="48" t="s">
        <v>23</v>
      </c>
      <c r="K2" s="260" t="str">
        <f xml:space="preserve"> IF(PreemptionForm!E42="","CSD = " &amp; 0 &amp; " ft","CSD = " &amp; PreemptionForm!$E$42 &amp; " ft")</f>
        <v>CSD = 0 ft</v>
      </c>
      <c r="L2" s="260" t="s">
        <v>577</v>
      </c>
      <c r="M2" s="203" t="str">
        <f>"UDOT Form Values "&amp; TEXT(PreemptionForm!O5,"m/d/yy")</f>
        <v>UDOT Form Values 1/0/00</v>
      </c>
      <c r="N2" s="275" t="str">
        <f xml:space="preserve"> IF(NOT(ISNUMBER(LARGE('Exhibit Data'!L9:AE9,1))),"","Existing "&amp;TEXT(MAX('Exhibit Data'!L9:AE9),"m/d/yy"))</f>
        <v>Existing 6/1/16</v>
      </c>
      <c r="O2" s="279" t="str">
        <f xml:space="preserve"> IF(NOT(ISNUMBER(LARGE('Exhibit Data'!L9:AE9,2))),"","Existing "&amp;TEXT(LARGE('Exhibit Data'!L9:AE9,2),"m/d/yy"))</f>
        <v/>
      </c>
      <c r="P2" s="278" t="str">
        <f xml:space="preserve"> IF(NOT(ISNUMBER(LARGE('Exhibit Data'!L9:AE9,3))),"","Existing "&amp;TEXT(LARGE('Exhibit Data'!L9:AE9,3),"m/d/yy"))</f>
        <v/>
      </c>
      <c r="Q2" s="278" t="str">
        <f t="shared" si="0"/>
        <v>20 sec</v>
      </c>
      <c r="R2" s="278" t="str">
        <f t="shared" si="1"/>
        <v/>
      </c>
      <c r="S2" s="275" t="str">
        <f t="shared" si="2"/>
        <v/>
      </c>
      <c r="T2" t="s">
        <v>609</v>
      </c>
      <c r="U2" s="282"/>
      <c r="V2" s="288" t="str">
        <f>IF('Exhibit Data'!L22="","",'Exhibit Data'!L22)</f>
        <v/>
      </c>
    </row>
    <row r="3" spans="1:27" ht="60" customHeight="1" x14ac:dyDescent="0.3">
      <c r="A3" s="48"/>
      <c r="B3" s="49" t="s">
        <v>57</v>
      </c>
      <c r="C3" s="50" t="s">
        <v>69</v>
      </c>
      <c r="F3" s="49"/>
      <c r="G3" s="48"/>
      <c r="H3" s="49"/>
      <c r="I3" s="49" t="str">
        <f>VLOOKUP(PreemptionForm!B36,B1:C8,2,FALSE)</f>
        <v>Other!A1</v>
      </c>
      <c r="K3" s="260" t="str">
        <f>"L = "&amp;PreemptionForm!$E$48&amp;" ft"</f>
        <v>L = 0 ft</v>
      </c>
      <c r="L3" s="260" t="s">
        <v>578</v>
      </c>
      <c r="M3" s="48" t="str">
        <f>SUM(0,PreemptionForm!$F$127)&amp; " sec"</f>
        <v>20 sec</v>
      </c>
      <c r="N3" s="276" t="str">
        <f>IF(NOT(ISNUMBER(HLOOKUP(MAX('Exhibit Data'!L9:AE9),'Exhibit Data'!L9:AE17,2,FALSE))),"",SUM(0,HLOOKUP(MAX('Exhibit Data'!L9:AE9),'Exhibit Data'!L9:AE17,2,FALSE))&amp; " sec")</f>
        <v>20 sec</v>
      </c>
      <c r="O3" s="276" t="str">
        <f>IF(NOT(ISNUMBER(HLOOKUP(LARGE('Exhibit Data'!L9:AE9,2),'Exhibit Data'!L9:AE17,2,FALSE))),"",SUM(0,HLOOKUP(LARGE('Exhibit Data'!L9:AE9,2),'Exhibit Data'!L9:AE17,2,FALSE))&amp; " sec")</f>
        <v/>
      </c>
      <c r="P3" s="280" t="str">
        <f>IF(NOT(ISNUMBER(HLOOKUP(LARGE('Exhibit Data'!L9:AE9,3),'Exhibit Data'!L9:AE17,2,FALSE))),"",SUM(0,HLOOKUP(LARGE('Exhibit Data'!L9:AE9,3),'Exhibit Data'!L9:AE17,2,FALSE))&amp; " sec")</f>
        <v/>
      </c>
      <c r="Q3" s="278" t="str">
        <f t="shared" si="0"/>
        <v>3 sec</v>
      </c>
      <c r="R3" s="278" t="str">
        <f t="shared" si="1"/>
        <v/>
      </c>
      <c r="S3" s="275" t="str">
        <f t="shared" si="2"/>
        <v/>
      </c>
      <c r="T3" s="277" t="s">
        <v>603</v>
      </c>
      <c r="U3" s="287"/>
      <c r="V3" s="48" t="str">
        <f>IF(NOT(ISNUMBER(LARGE('Exhibit Data'!L23:AE23,1))),"","Existing "&amp;TEXT(MAX('Exhibit Data'!L23:AA23),"m/d/yy"))</f>
        <v>Existing 1/1/00</v>
      </c>
      <c r="W3" s="279" t="str">
        <f>IF(NOT(ISNUMBER(LARGE('Exhibit Data'!L23:AE23,2))),"","Existing "&amp;TEXT(LARGE('Exhibit Data'!L23:AA23,2),"m/d/yy"))</f>
        <v/>
      </c>
      <c r="X3" s="48" t="str">
        <f>IF(NOT(ISNUMBER(LARGE('Exhibit Data'!L23:AE23,3))),"","Existing "&amp;TEXT(LARGE('Exhibit Data'!L23:AA23,3),"m/d/yy"))</f>
        <v/>
      </c>
      <c r="Y3" s="48" t="str">
        <f t="shared" ref="Y3:Y19" si="3">IF(AND(NOT($V$3=""),NOT($W$3=""),NOT($X$3="")),$X3,IF(AND(NOT($V$3=""),NOT($W$3="")),$W3,IF(NOT($V$3=""),$V3,"")))</f>
        <v>Existing 1/1/00</v>
      </c>
      <c r="Z3" s="48" t="str">
        <f t="shared" ref="Z3:Z19" si="4">IF(AND(NOT($V$3=""),NOT($W$3=""),NOT($X$3="")),$W3,IF(AND(NOT($V$3=""),NOT($W$3="")),$V3,IF(NOT($V$3=""),"","")))</f>
        <v/>
      </c>
      <c r="AA3" s="48" t="str">
        <f t="shared" ref="AA3:AA19" si="5">IF(AND(NOT($V$3=""),NOT($W$3=""),NOT($X$3="")),$V3,IF(AND(NOT($V$3=""),NOT($W$3="")),"",IF(NOT($V$3=""),"","")))</f>
        <v/>
      </c>
    </row>
    <row r="4" spans="1:27" ht="60" customHeight="1" x14ac:dyDescent="0.3">
      <c r="A4" s="48"/>
      <c r="B4" s="49" t="s">
        <v>59</v>
      </c>
      <c r="C4" s="50" t="s">
        <v>70</v>
      </c>
      <c r="F4" s="51"/>
      <c r="H4" s="51"/>
      <c r="I4" s="51"/>
      <c r="K4" s="260" t="str">
        <f>IF(PreemptionForm!E44="","MTCD = " &amp;0 &amp; " ft", "MTCD = " &amp;PreemptionForm!E44 &amp; " ft")</f>
        <v>MTCD = 0 ft</v>
      </c>
      <c r="L4" s="260" t="s">
        <v>579</v>
      </c>
      <c r="M4" s="48" t="str">
        <f>PreemptionForm!$F$129&amp; " sec"</f>
        <v>0 sec</v>
      </c>
      <c r="N4" s="276" t="str">
        <f>IF(NOT(ISNUMBER(HLOOKUP(MAX('Exhibit Data'!L9:AE9),'Exhibit Data'!L9:AE17,3,FALSE))),"",SUM(0,HLOOKUP(MAX('Exhibit Data'!L9:AE9),'Exhibit Data'!L9:AE17,3,FALSE))&amp; " sec")</f>
        <v>3 sec</v>
      </c>
      <c r="O4" s="276" t="str">
        <f>IF(NOT(ISNUMBER(HLOOKUP(LARGE('Exhibit Data'!L9:AE9,2),'Exhibit Data'!L9:AE17,3,FALSE))),"",SUM(0,HLOOKUP(LARGE('Exhibit Data'!L9:AE9,2),'Exhibit Data'!L9:AE17,3,FALSE))&amp; " sec")</f>
        <v/>
      </c>
      <c r="P4" s="273" t="str">
        <f>IF(NOT(ISNUMBER(HLOOKUP(LARGE('Exhibit Data'!L9:AE9,3),'Exhibit Data'!L9:AE17,3,FALSE))),"",SUM(0,HLOOKUP(LARGE('Exhibit Data'!L9:AE9,3),'Exhibit Data'!L9:AE17,3,FALSE))&amp; " sec")</f>
        <v/>
      </c>
      <c r="Q4" s="278" t="str">
        <f t="shared" si="0"/>
        <v>23 sec</v>
      </c>
      <c r="R4" s="278" t="str">
        <f t="shared" si="1"/>
        <v/>
      </c>
      <c r="S4" s="278" t="str">
        <f t="shared" si="2"/>
        <v/>
      </c>
      <c r="T4" s="260" t="s">
        <v>604</v>
      </c>
      <c r="U4" s="284"/>
      <c r="V4" s="276" t="str">
        <f>IF(HLOOKUP(MAX('Exhibit Data'!$L$23:$AE$23),'Exhibit Data'!$L$23:$AE$38,2,FALSE)=0,"",HLOOKUP(MAX('Exhibit Data'!$L$23:$AE$23),'Exhibit Data'!$L$23:$AE$38,2,FALSE))</f>
        <v>-</v>
      </c>
      <c r="W4" s="276" t="e">
        <f>IF(HLOOKUP(LARGE('Exhibit Data'!$L$23:$AE$23,2),'Exhibit Data'!$L$23:$AE$38,2,FALSE)=0,"",HLOOKUP(LARGE('Exhibit Data'!$L$23:$AE$23,2),'Exhibit Data'!$L$23:$AE$38,2,FALSE))</f>
        <v>#NUM!</v>
      </c>
      <c r="X4" s="276" t="e">
        <f>IF(HLOOKUP(LARGE('Exhibit Data'!$L$23:$AE$23,3),'Exhibit Data'!$L$23:$AE$38,2,FALSE)=0,"",HLOOKUP(LARGE('Exhibit Data'!$L$23:$AE$23,3),'Exhibit Data'!$L$23:$AE$38,2,FALSE))</f>
        <v>#NUM!</v>
      </c>
      <c r="Y4" s="48" t="str">
        <f t="shared" si="3"/>
        <v>-</v>
      </c>
      <c r="Z4" s="48" t="str">
        <f t="shared" si="4"/>
        <v/>
      </c>
      <c r="AA4" s="48" t="str">
        <f t="shared" si="5"/>
        <v/>
      </c>
    </row>
    <row r="5" spans="1:27" ht="60" customHeight="1" x14ac:dyDescent="0.3">
      <c r="A5" s="48"/>
      <c r="B5" s="49" t="s">
        <v>60</v>
      </c>
      <c r="C5" s="50" t="s">
        <v>71</v>
      </c>
      <c r="F5" s="51"/>
      <c r="H5" s="51"/>
      <c r="I5" s="51"/>
      <c r="K5" s="260" t="str">
        <f>"DVL = " &amp;PreemptionForm!$E$46 &amp; " ft"</f>
        <v>DVL = 73.5 ft</v>
      </c>
      <c r="L5" s="260" t="s">
        <v>580</v>
      </c>
      <c r="M5" s="275" t="str">
        <f>PreemptionForm!$F$131&amp; " sec"</f>
        <v>20 sec</v>
      </c>
      <c r="N5" s="276" t="str">
        <f>IF(NOT(ISNUMBER(HLOOKUP(MAX('Exhibit Data'!L9:AE9),'Exhibit Data'!L9:AE17,4,FALSE))),"",SUM(0,HLOOKUP(MAX('Exhibit Data'!L9:AE9),'Exhibit Data'!L9:AE17,4,FALSE))&amp; " sec")</f>
        <v>23 sec</v>
      </c>
      <c r="O5" s="276" t="str">
        <f>IF(NOT(ISNUMBER(HLOOKUP(LARGE('Exhibit Data'!L9:AE9,2),'Exhibit Data'!L9:AE17,4,FALSE))),"",SUM(0,HLOOKUP(LARGE('Exhibit Data'!L9:AE9,2),'Exhibit Data'!L9:AE17,4,FALSE))&amp; " sec")</f>
        <v/>
      </c>
      <c r="P5" s="273" t="str">
        <f>IF(NOT(ISNUMBER(HLOOKUP(LARGE('Exhibit Data'!L9:AE9,3),'Exhibit Data'!L9:AE17,4,FALSE))),"",SUM(0,HLOOKUP(LARGE('Exhibit Data'!L9:AE9,3),'Exhibit Data'!L9:AE17,4,FALSE))&amp; " sec")</f>
        <v/>
      </c>
      <c r="Q5" s="278" t="str">
        <f t="shared" si="0"/>
        <v>5 sec</v>
      </c>
      <c r="R5" s="278" t="str">
        <f t="shared" si="1"/>
        <v/>
      </c>
      <c r="S5" s="278" t="str">
        <f t="shared" si="2"/>
        <v/>
      </c>
      <c r="T5" s="48" t="s">
        <v>605</v>
      </c>
      <c r="U5" s="203" t="str">
        <f>"UDOT Form Values "&amp; TEXT(PreemptionForm!O5,"m/d/yy")</f>
        <v>UDOT Form Values 1/0/00</v>
      </c>
      <c r="V5" s="276" t="str">
        <f>IF(HLOOKUP(MAX('Exhibit Data'!$L$23:$AE$23),'Exhibit Data'!$L$23:$AE$38,3,FALSE)=0,"",TEXT(HLOOKUP(MAX('Exhibit Data'!$L$23:$AE$23),'Exhibit Data'!$L$23:$AE$38,3,FALSE),"m/d/yy"))</f>
        <v>-</v>
      </c>
      <c r="W5" s="48" t="e">
        <f>IF(HLOOKUP(LARGE('Exhibit Data'!$L$23:$AE$23,2),'Exhibit Data'!$L$23:$AE$38,3,FALSE)=0,"",TEXT(HLOOKUP(LARGE('Exhibit Data'!$L$23:$AE$23,2),'Exhibit Data'!$L$23:$AE$38,3,FALSE),"m/d/yy"))</f>
        <v>#NUM!</v>
      </c>
      <c r="X5" s="48" t="e">
        <f>IF(HLOOKUP(LARGE('Exhibit Data'!$L$23:$AE$23,3),'Exhibit Data'!$L$23:$AE$38,3,FALSE)=0,"",TEXT(HLOOKUP(LARGE('Exhibit Data'!$L$23:$AE$23,3),'Exhibit Data'!$L$23:$AE$38,3,FALSE),"m/d/yy"))</f>
        <v>#NUM!</v>
      </c>
      <c r="Y5" s="48" t="str">
        <f t="shared" si="3"/>
        <v>-</v>
      </c>
      <c r="Z5" s="48" t="str">
        <f t="shared" si="4"/>
        <v/>
      </c>
      <c r="AA5" s="48" t="str">
        <f t="shared" si="5"/>
        <v/>
      </c>
    </row>
    <row r="6" spans="1:27" ht="60" customHeight="1" x14ac:dyDescent="0.3">
      <c r="A6" s="48"/>
      <c r="B6" s="49" t="s">
        <v>61</v>
      </c>
      <c r="C6" s="50" t="s">
        <v>72</v>
      </c>
      <c r="F6" s="51"/>
      <c r="H6" s="51"/>
      <c r="I6" s="51"/>
      <c r="K6" s="260" t="str">
        <f>"DVCD = " &amp;PreemptionForm!E50 &amp; " ft"</f>
        <v>DVCD = 73.5 ft</v>
      </c>
      <c r="L6" s="260" t="s">
        <v>581</v>
      </c>
      <c r="M6" s="48" t="str">
        <f>SUM(0,PreemptionForm!$F$133)&amp; " sec"</f>
        <v>5 sec</v>
      </c>
      <c r="N6" s="276" t="str">
        <f>IF(NOT(ISNUMBER(HLOOKUP(MAX('Exhibit Data'!L9:AE9),'Exhibit Data'!L9:AE17,5,FALSE))),"",SUM(0,HLOOKUP(MAX('Exhibit Data'!L9:AE9),'Exhibit Data'!L9:AE17,5,FALSE))&amp; " sec")</f>
        <v>5 sec</v>
      </c>
      <c r="O6" s="276" t="str">
        <f>IF(NOT(ISNUMBER(HLOOKUP(LARGE('Exhibit Data'!L9:AE9,2),'Exhibit Data'!L9:AE17,5,FALSE))),"",SUM(0,HLOOKUP(LARGE('Exhibit Data'!L9:AE9,2),'Exhibit Data'!L9:AE17,5,FALSE))&amp; " sec")</f>
        <v/>
      </c>
      <c r="P6" s="273" t="str">
        <f>IF(NOT(ISNUMBER(HLOOKUP(LARGE('Exhibit Data'!L9:AE9,3),'Exhibit Data'!L9:AE17,5,FALSE))),"",SUM(0,HLOOKUP(LARGE('Exhibit Data'!L9:AE9,3),'Exhibit Data'!L9:AE17,5,FALSE))&amp; " sec")</f>
        <v/>
      </c>
      <c r="Q6" s="278" t="str">
        <f t="shared" si="0"/>
        <v>28 sec</v>
      </c>
      <c r="R6" s="278" t="str">
        <f t="shared" si="1"/>
        <v/>
      </c>
      <c r="S6" s="278" t="str">
        <f t="shared" si="2"/>
        <v/>
      </c>
      <c r="T6" s="48" t="s">
        <v>606</v>
      </c>
      <c r="U6" s="48">
        <f>PreemptionForm!O7</f>
        <v>0</v>
      </c>
      <c r="V6" s="48" t="str">
        <f>IF(HLOOKUP(MAX('Exhibit Data'!$L$23:$AE$23),'Exhibit Data'!$L$23:$AE$38,4,FALSE)=0,"",HLOOKUP(MAX('Exhibit Data'!$L$23:$AE$23),'Exhibit Data'!$L$23:$AE$38,4,FALSE))</f>
        <v>-</v>
      </c>
      <c r="W6" s="48" t="e">
        <f>IF(HLOOKUP(LARGE('Exhibit Data'!$L$23:$AE$23,2),'Exhibit Data'!$L$23:$AE$38,4,FALSE)=0,"",HLOOKUP(LARGE('Exhibit Data'!$L$23:$AE$23,2),'Exhibit Data'!$L$23:$AE$38,4,FALSE))</f>
        <v>#NUM!</v>
      </c>
      <c r="X6" s="48" t="e">
        <f>IF(HLOOKUP(LARGE('Exhibit Data'!$L$23:$AE$23,3),'Exhibit Data'!$L$23:$AE$38,4,FALSE)=0,"",HLOOKUP(LARGE('Exhibit Data'!$L$23:$AE$23,3),'Exhibit Data'!$L$23:$AE$38,4,FALSE))</f>
        <v>#NUM!</v>
      </c>
      <c r="Y6" s="48" t="str">
        <f t="shared" si="3"/>
        <v>-</v>
      </c>
      <c r="Z6" s="48" t="str">
        <f t="shared" si="4"/>
        <v/>
      </c>
      <c r="AA6" s="48" t="str">
        <f t="shared" si="5"/>
        <v/>
      </c>
    </row>
    <row r="7" spans="1:27" ht="60" customHeight="1" x14ac:dyDescent="0.3">
      <c r="A7" s="48"/>
      <c r="B7" s="49" t="s">
        <v>62</v>
      </c>
      <c r="C7" s="50" t="s">
        <v>73</v>
      </c>
      <c r="F7" s="51"/>
      <c r="H7" s="51"/>
      <c r="I7" s="51"/>
      <c r="K7" s="273" t="str">
        <f>TEXT(PreemptionForm!B11,"")</f>
        <v/>
      </c>
      <c r="L7" s="260" t="s">
        <v>582</v>
      </c>
      <c r="M7" s="48" t="str">
        <f>PreemptionForm!$F$135&amp; " sec"</f>
        <v>25 sec</v>
      </c>
      <c r="N7" s="276" t="str">
        <f>IF(NOT(ISNUMBER(HLOOKUP(MAX('Exhibit Data'!L9:AE9),'Exhibit Data'!L9:AE17,6,FALSE))),"",SUM(0,HLOOKUP(MAX('Exhibit Data'!L9:AE9),'Exhibit Data'!L9:AE17,6,FALSE))&amp; " sec")</f>
        <v>28 sec</v>
      </c>
      <c r="O7" s="276" t="str">
        <f>IF(NOT(ISNUMBER(HLOOKUP(LARGE('Exhibit Data'!L9:AE9,2),'Exhibit Data'!L9:AE17,6,FALSE))),"",SUM(0,HLOOKUP(LARGE('Exhibit Data'!L9:AE9,2),'Exhibit Data'!L9:AE17,6,FALSE))&amp; " sec")</f>
        <v/>
      </c>
      <c r="P7" s="273" t="str">
        <f>IF(NOT(ISNUMBER(HLOOKUP(LARGE('Exhibit Data'!L9:AE9,3),'Exhibit Data'!L9:AE17,6,FALSE))),"",SUM(0,HLOOKUP(LARGE('Exhibit Data'!L9:AE9,3),'Exhibit Data'!L9:AE17,6,FALSE))&amp; " sec")</f>
        <v/>
      </c>
      <c r="Q7" s="278" t="str">
        <f t="shared" si="0"/>
        <v>5 sec</v>
      </c>
      <c r="R7" s="278" t="str">
        <f t="shared" si="1"/>
        <v/>
      </c>
      <c r="S7" s="278" t="str">
        <f t="shared" si="2"/>
        <v/>
      </c>
      <c r="T7" s="260" t="s">
        <v>588</v>
      </c>
      <c r="U7" s="283" t="str">
        <f>SUM(0,PreemptionForm!F70)&amp; " sec"</f>
        <v>0 sec</v>
      </c>
      <c r="V7" s="276" t="str">
        <f>IF(NOT(ISNUMBER(HLOOKUP(MAX('Exhibit Data'!$L$23:$AE$23),'Exhibit Data'!$L$23:$AE$38,5,FALSE))),"",SUM(0,HLOOKUP(MAX('Exhibit Data'!$L$23:$AE$23),'Exhibit Data'!$L$23:$AE$39,5,FALSE))&amp; " sec")</f>
        <v>0 sec</v>
      </c>
      <c r="W7" s="276" t="str">
        <f>IF(NOT(ISNUMBER(HLOOKUP(LARGE('Exhibit Data'!$L$23:$AE$23,2),'Exhibit Data'!$L$23:$AE$38,5,FALSE))),"",SUM(0,HLOOKUP(LARGE('Exhibit Data'!$L$23:$AE$23,2),'Exhibit Data'!$L$23:$AE$38,5,FALSE))&amp; " sec")</f>
        <v/>
      </c>
      <c r="X7" s="276" t="str">
        <f>IF(NOT(ISNUMBER(HLOOKUP(LARGE('Exhibit Data'!$L$23:$AE$23,3),'Exhibit Data'!$L$23:$AE$38,5,FALSE))),"",SUM(0,HLOOKUP(LARGE('Exhibit Data'!$L$23:$AE$23,3),'Exhibit Data'!$L$23:$AE$38,5,FALSE))&amp; " sec")</f>
        <v/>
      </c>
      <c r="Y7" s="48" t="str">
        <f t="shared" si="3"/>
        <v>0 sec</v>
      </c>
      <c r="Z7" s="48" t="str">
        <f t="shared" si="4"/>
        <v/>
      </c>
      <c r="AA7" s="48" t="str">
        <f t="shared" si="5"/>
        <v/>
      </c>
    </row>
    <row r="8" spans="1:27" ht="60" customHeight="1" x14ac:dyDescent="0.3">
      <c r="A8" s="48"/>
      <c r="B8" s="49" t="s">
        <v>63</v>
      </c>
      <c r="C8" s="50" t="s">
        <v>74</v>
      </c>
      <c r="F8" s="51"/>
      <c r="H8" s="51"/>
      <c r="I8" s="51"/>
      <c r="K8" s="274" t="str">
        <f>TEXT(PreemptionForm!B13,"")</f>
        <v/>
      </c>
      <c r="L8" s="260" t="s">
        <v>583</v>
      </c>
      <c r="M8" s="48" t="str">
        <f>SUM(PreemptionForm!$F$143,0)&amp; " sec"</f>
        <v>5 sec</v>
      </c>
      <c r="N8" s="276" t="str">
        <f>IF(NOT(ISNUMBER(HLOOKUP(MAX('Exhibit Data'!L9:AE9),'Exhibit Data'!L9:AE17,7,FALSE))),"",SUM(0,HLOOKUP(MAX('Exhibit Data'!L9:AE9),'Exhibit Data'!L9:AE17,7,FALSE))&amp; " sec")</f>
        <v>5 sec</v>
      </c>
      <c r="O8" s="276" t="str">
        <f>IF(NOT(ISNUMBER(HLOOKUP(LARGE('Exhibit Data'!L9:AE9,2),'Exhibit Data'!L9:AE17,7,FALSE))),"",SUM(0,HLOOKUP(LARGE('Exhibit Data'!L9:AE9,2),'Exhibit Data'!L9:AE17,7,FALSE))&amp; " sec")</f>
        <v/>
      </c>
      <c r="P8" s="273" t="str">
        <f>IF(NOT(ISNUMBER(HLOOKUP(LARGE('Exhibit Data'!L9:AE9,3),'Exhibit Data'!L9:AE17,7,FALSE))),"",SUM(0,HLOOKUP(LARGE('Exhibit Data'!L9:AE9,3),'Exhibit Data'!L9:AE17,7,FALSE))&amp; " sec")</f>
        <v/>
      </c>
      <c r="Q8" s="278" t="str">
        <f t="shared" si="0"/>
        <v/>
      </c>
      <c r="R8" s="278" t="str">
        <f t="shared" si="1"/>
        <v/>
      </c>
      <c r="S8" s="278" t="str">
        <f t="shared" si="2"/>
        <v/>
      </c>
      <c r="T8" s="260" t="s">
        <v>589</v>
      </c>
      <c r="U8" s="48" t="str">
        <f>SUM(0,PreemptionForm!F111)&amp; " sec"</f>
        <v>14 sec</v>
      </c>
      <c r="V8" s="276" t="str">
        <f>IF(NOT(ISNUMBER(HLOOKUP(MAX('Exhibit Data'!$L$23:$AE$23),'Exhibit Data'!$L$23:$AE$38,6,FALSE))),"",SUM(0,HLOOKUP(MAX('Exhibit Data'!$L$23:$AE$23),'Exhibit Data'!$L$23:$AE$38,6,FALSE))&amp; " sec")</f>
        <v>20 sec</v>
      </c>
      <c r="W8" s="276" t="str">
        <f>IF(NOT(ISNUMBER(HLOOKUP(LARGE('Exhibit Data'!$L$23:$AE$23,2),'Exhibit Data'!$L$23:$AE$38,6,FALSE))),"",SUM(0,HLOOKUP(LARGE('Exhibit Data'!$L$23:$AE$23,2),'Exhibit Data'!$L$23:$AE$38,6,FALSE))&amp; " sec")</f>
        <v/>
      </c>
      <c r="X8" s="276" t="str">
        <f>IF(NOT(ISNUMBER(HLOOKUP(LARGE('Exhibit Data'!$L$23:$AE$23,3),'Exhibit Data'!$L$23:$AE$38,6,FALSE))),"",SUM(0,HLOOKUP(LARGE('Exhibit Data'!$L$23:$AE$23,3),'Exhibit Data'!$L$23:$AE$38,6,FALSE))&amp; " sec")</f>
        <v/>
      </c>
      <c r="Y8" s="48" t="str">
        <f t="shared" si="3"/>
        <v>20 sec</v>
      </c>
      <c r="Z8" s="48" t="str">
        <f t="shared" si="4"/>
        <v/>
      </c>
      <c r="AA8" s="48" t="str">
        <f t="shared" si="5"/>
        <v/>
      </c>
    </row>
    <row r="9" spans="1:27" ht="60" customHeight="1" x14ac:dyDescent="0.3">
      <c r="B9" s="51"/>
      <c r="C9" s="52"/>
      <c r="F9" s="51"/>
      <c r="H9" s="51"/>
      <c r="I9" s="51"/>
      <c r="L9" s="260" t="s">
        <v>584</v>
      </c>
      <c r="M9" s="48" t="str">
        <f>PreemptionForm!$F$140&amp; " sec"</f>
        <v>14 sec</v>
      </c>
      <c r="N9" s="276" t="str">
        <f>IF(NOT(ISNUMBER(HLOOKUP(MAX('Exhibit Data'!L9:AE9),'Exhibit Data'!L9:AE17,8,FALSE))),"",SUM(0,HLOOKUP(MAX('Exhibit Data'!L9:AE9),'Exhibit Data'!L9:AE17,8,FALSE))&amp; " sec")</f>
        <v/>
      </c>
      <c r="O9" s="276" t="str">
        <f>IF(NOT(ISNUMBER(HLOOKUP(LARGE('Exhibit Data'!L9:AE9,2),'Exhibit Data'!L9:AE17,8,FALSE))),"",SUM(0,HLOOKUP(LARGE('Exhibit Data'!L9:AE9,2),'Exhibit Data'!L9:AE17,8,FALSE))&amp; " sec")</f>
        <v/>
      </c>
      <c r="P9" s="273" t="str">
        <f>IF(NOT(ISNUMBER(HLOOKUP(LARGE('Exhibit Data'!L9:AE9,3),'Exhibit Data'!L9:AE17,8,FALSE))),"",SUM(0,HLOOKUP(LARGE('Exhibit Data'!L9:AE9,3),'Exhibit Data'!L9:AE17,8,FALSE))&amp; " sec")</f>
        <v/>
      </c>
      <c r="Q9" s="278" t="str">
        <f t="shared" si="0"/>
        <v>33 sec</v>
      </c>
      <c r="R9" s="278" t="str">
        <f t="shared" si="1"/>
        <v/>
      </c>
      <c r="S9" s="278" t="str">
        <f t="shared" si="2"/>
        <v/>
      </c>
      <c r="T9" s="260" t="s">
        <v>590</v>
      </c>
      <c r="U9" s="281"/>
      <c r="V9" s="276" t="str">
        <f>IF(ISBLANK(HLOOKUP(MAX('Exhibit Data'!$L$23:$AE$23),'Exhibit Data'!$L$23:$AE$38,7,FALSE)),"",HLOOKUP(MAX('Exhibit Data'!$L$23:$AE$23),'Exhibit Data'!$L$23:$AE$38,7,FALSE))</f>
        <v>3,8</v>
      </c>
      <c r="W9" s="276" t="e">
        <f>IF(ISBLANK(HLOOKUP(LARGE('Exhibit Data'!$L$23:$AE$23,2),'Exhibit Data'!$L$23:$AE$38,7,FALSE)),"",HLOOKUP(LARGE('Exhibit Data'!$L$23:$AE$23,2),'Exhibit Data'!$L$23:$AE$38,7,FALSE))</f>
        <v>#NUM!</v>
      </c>
      <c r="X9" s="276" t="e">
        <f>IF(ISBLANK(HLOOKUP(LARGE('Exhibit Data'!$L$23:$AE$23,3),'Exhibit Data'!$L$23:$AE$38,7,FALSE)),"",HLOOKUP(LARGE('Exhibit Data'!$L$23:$AE$23,3),'Exhibit Data'!$L$23:$AE$38,7,FALSE))</f>
        <v>#NUM!</v>
      </c>
      <c r="Y9" s="48" t="str">
        <f t="shared" si="3"/>
        <v>3,8</v>
      </c>
      <c r="Z9" s="48" t="str">
        <f t="shared" si="4"/>
        <v/>
      </c>
      <c r="AA9" s="48" t="str">
        <f t="shared" si="5"/>
        <v/>
      </c>
    </row>
    <row r="10" spans="1:27" ht="60" customHeight="1" x14ac:dyDescent="0.3">
      <c r="B10" s="51"/>
      <c r="C10" s="52"/>
      <c r="F10" s="51"/>
      <c r="H10" s="51"/>
      <c r="I10" s="51"/>
      <c r="L10" s="260" t="s">
        <v>585</v>
      </c>
      <c r="M10" s="48" t="str">
        <f>PreemptionForm!$F$145&amp; " sec"</f>
        <v>44 sec</v>
      </c>
      <c r="N10" s="276" t="str">
        <f>IF(NOT(ISNUMBER(HLOOKUP(MAX('Exhibit Data'!L9:AE9),'Exhibit Data'!L9:AE17,9,FALSE))),"",SUM(0,HLOOKUP(MAX('Exhibit Data'!L9:AE9),'Exhibit Data'!L9:AE17,9,FALSE))&amp; " sec")</f>
        <v>33 sec</v>
      </c>
      <c r="O10" s="276" t="str">
        <f>IF(NOT(ISNUMBER(HLOOKUP(LARGE('Exhibit Data'!L9:AE9,2),'Exhibit Data'!L9:AE17,9,FALSE))),"",SUM(0,HLOOKUP(LARGE('Exhibit Data'!L9:AE9,2),'Exhibit Data'!L9:AE17,9,FALSE))&amp; " sec")</f>
        <v/>
      </c>
      <c r="P10" s="276" t="str">
        <f>IF(NOT(ISNUMBER(HLOOKUP(LARGE('Exhibit Data'!L9:AE9,3),'Exhibit Data'!L9:AE17,9,FALSE))),"",SUM(0,HLOOKUP(LARGE('Exhibit Data'!L9:AE9,3),'Exhibit Data'!L9:AE17,9,FALSE))&amp; " sec")</f>
        <v/>
      </c>
      <c r="Q10" s="278"/>
      <c r="R10" s="278" t="str">
        <f>IF(AND(NOT($P$2=""),NOT($O$2=""),NOT($N$2="")),#REF!,IF(AND(NOT($N$2=""),NOT($O$2="")),#REF!,IF(NOT($N$2=""),"","")))</f>
        <v/>
      </c>
      <c r="S10" s="278" t="str">
        <f>IF(AND(NOT($P$2=""),NOT($O$2=""),NOT($N$2="")),#REF!,IF(AND(NOT($N$2=""),NOT($O$2="")),"",IF(NOT($N$2=""),"","")))</f>
        <v/>
      </c>
      <c r="T10" s="260" t="s">
        <v>591</v>
      </c>
      <c r="U10" s="281"/>
      <c r="V10" s="276" t="str">
        <f>IF(NOT(ISNUMBER(HLOOKUP(MAX('Exhibit Data'!$L$23:$AE$23),'Exhibit Data'!$L$23:$AE$38,8,FALSE))),"",SUM(0,HLOOKUP(MAX('Exhibit Data'!$L$23:$AE$23),'Exhibit Data'!$L$23:$AE$38,8,FALSE))&amp; " sec")</f>
        <v>0 sec</v>
      </c>
      <c r="W10" s="276" t="str">
        <f>IF(NOT(ISNUMBER(HLOOKUP(LARGE('Exhibit Data'!$L$23:$AE$23,2),'Exhibit Data'!$L$23:$AE$38,8,FALSE))),"",SUM(0,HLOOKUP(LARGE('Exhibit Data'!$L$23:$AE$23,2),'Exhibit Data'!$L$23:$AE$38,8,FALSE))&amp; " sec")</f>
        <v/>
      </c>
      <c r="X10" s="276" t="str">
        <f>IF(NOT(ISNUMBER(HLOOKUP(LARGE('Exhibit Data'!$L$23:$AE$23,3),'Exhibit Data'!$L$23:$AE$38,8,FALSE))),"",SUM(0,HLOOKUP(LARGE('Exhibit Data'!$L$23:$AE$23,3),'Exhibit Data'!$L$23:$AE$38,8,FALSE))&amp; " sec")</f>
        <v/>
      </c>
      <c r="Y10" s="48" t="str">
        <f t="shared" si="3"/>
        <v>0 sec</v>
      </c>
      <c r="Z10" s="48" t="str">
        <f t="shared" si="4"/>
        <v/>
      </c>
      <c r="AA10" s="48" t="str">
        <f t="shared" si="5"/>
        <v/>
      </c>
    </row>
    <row r="11" spans="1:27" ht="60" customHeight="1" x14ac:dyDescent="0.3">
      <c r="Q11" s="278"/>
      <c r="R11" s="278" t="str">
        <f>IF(AND(NOT($P$2=""),NOT($O$2=""),NOT($N$2="")),$O11,IF(AND(NOT($N$2=""),NOT($O$2="")),$N11,IF(NOT($N$2=""),"","")))</f>
        <v/>
      </c>
      <c r="S11" s="278" t="str">
        <f>IF(AND(NOT($P$2=""),NOT($O$2=""),NOT($N$2="")),$N11,IF(AND(NOT($N$2=""),NOT($O$2="")),"",IF(NOT($N$2=""),"","")))</f>
        <v/>
      </c>
      <c r="T11" s="260" t="s">
        <v>592</v>
      </c>
      <c r="U11" s="281"/>
      <c r="V11" s="276" t="str">
        <f>IF(ISBLANK(HLOOKUP(MAX('Exhibit Data'!$L$23:$AE$23),'Exhibit Data'!$L$23:$AE$38,9,FALSE)),"",HLOOKUP(MAX('Exhibit Data'!$L$23:$AE$23),'Exhibit Data'!$L$23:$AE$38,9,FALSE))</f>
        <v>4,7</v>
      </c>
      <c r="W11" s="276" t="e">
        <f>IF(ISBLANK(HLOOKUP(LARGE('Exhibit Data'!$L$23:$AE$23,2),'Exhibit Data'!$L$23:$AE$38,9,FALSE)),"",HLOOKUP(LARGE('Exhibit Data'!$L$23:$AE$23,2),'Exhibit Data'!$L$23:$AE$38,9,FALSE))</f>
        <v>#NUM!</v>
      </c>
      <c r="X11" s="276" t="e">
        <f>IF(ISBLANK(HLOOKUP(LARGE('Exhibit Data'!$L$23:$AE$23,3),'Exhibit Data'!$L$23:$AE$38,9,FALSE)),"",HLOOKUP(LARGE('Exhibit Data'!$L$23:$AE$23,3),'Exhibit Data'!$L$23:$AE$38,9,FALSE))</f>
        <v>#NUM!</v>
      </c>
      <c r="Y11" s="48" t="str">
        <f t="shared" si="3"/>
        <v>4,7</v>
      </c>
      <c r="Z11" s="48" t="str">
        <f t="shared" si="4"/>
        <v/>
      </c>
      <c r="AA11" s="48" t="str">
        <f t="shared" si="5"/>
        <v/>
      </c>
    </row>
    <row r="12" spans="1:27" ht="60" customHeight="1" x14ac:dyDescent="0.3">
      <c r="Q12" s="278"/>
      <c r="R12" s="278" t="str">
        <f>IF(AND(NOT($P$2=""),NOT($O$2=""),NOT($N$2="")),$O12,IF(AND(NOT($N$2=""),NOT($O$2="")),$N12,IF(NOT($N$2=""),"","")))</f>
        <v/>
      </c>
      <c r="S12" s="278" t="str">
        <f>IF(AND(NOT($P$2=""),NOT($O$2=""),NOT($N$2="")),$N12,IF(AND(NOT($N$2=""),NOT($O$2="")),"",IF(NOT($N$2=""),"","")))</f>
        <v/>
      </c>
      <c r="T12" s="260" t="s">
        <v>593</v>
      </c>
      <c r="U12" s="282"/>
      <c r="V12" s="276" t="str">
        <f>IF(NOT(ISNUMBER(HLOOKUP(MAX('Exhibit Data'!$L$23:$AE$23),'Exhibit Data'!$L$23:$AE$38,10,FALSE))),"",SUM(0,HLOOKUP(MAX('Exhibit Data'!$L$23:$AE$23),'Exhibit Data'!$L$23:$AE$38,10,FALSE))&amp; " sec")</f>
        <v/>
      </c>
      <c r="W12" s="276" t="str">
        <f>IF(NOT(ISNUMBER(HLOOKUP(LARGE('Exhibit Data'!$L$23:$AE$23,2),'Exhibit Data'!$L$23:$AE$38,10,FALSE))),"",SUM(0,HLOOKUP(LARGE('Exhibit Data'!$L$23:$AE$23,2),'Exhibit Data'!$L$23:$AE$38,10,FALSE))&amp; " sec")</f>
        <v/>
      </c>
      <c r="X12" s="276" t="str">
        <f>IF(NOT(ISNUMBER(HLOOKUP(LARGE('Exhibit Data'!$L$23:$AE$23,3),'Exhibit Data'!$L$23:$AE$38,10,FALSE))),"",SUM(0,HLOOKUP(LARGE('Exhibit Data'!$L$23:$AE$23,3),'Exhibit Data'!$L$23:$AE$38,10,FALSE))&amp; " sec")</f>
        <v/>
      </c>
      <c r="Y12" s="48" t="str">
        <f t="shared" si="3"/>
        <v/>
      </c>
      <c r="Z12" s="48" t="str">
        <f t="shared" si="4"/>
        <v/>
      </c>
      <c r="AA12" s="48" t="str">
        <f t="shared" si="5"/>
        <v/>
      </c>
    </row>
    <row r="13" spans="1:27" x14ac:dyDescent="0.3">
      <c r="Q13" s="278"/>
      <c r="R13" s="278" t="str">
        <f>IF(AND(NOT($P$2=""),NOT($O$2=""),NOT($N$2="")),$O13,IF(AND(NOT($N$2=""),NOT($O$2="")),$N13,IF(NOT($N$2=""),"","")))</f>
        <v/>
      </c>
      <c r="S13" s="278" t="str">
        <f>IF(AND(NOT($P$2=""),NOT($O$2=""),NOT($N$2="")),$N13,IF(AND(NOT($N$2=""),NOT($O$2="")),"",IF(NOT($N$2=""),"","")))</f>
        <v/>
      </c>
      <c r="T13" s="260" t="s">
        <v>597</v>
      </c>
      <c r="U13" s="48" t="str">
        <f>SUM(0,PreemptionForm!F82)&amp; " sec"</f>
        <v>0 sec</v>
      </c>
      <c r="V13" s="276" t="str">
        <f>IF(NOT(ISNUMBER(HLOOKUP(MAX('Exhibit Data'!$L$23:$AE$23),'Exhibit Data'!$L$23:$AE$38,11,FALSE))),"",SUM(0,HLOOKUP(MAX('Exhibit Data'!$L$23:$AE$23),'Exhibit Data'!$L$23:$AE$38,11,FALSE))&amp; " sec")</f>
        <v>0 sec</v>
      </c>
      <c r="W13" s="276" t="str">
        <f>IF(NOT(ISNUMBER(HLOOKUP(LARGE('Exhibit Data'!$L$23:$AE$23,2),'Exhibit Data'!$L$23:$AE$38,11,FALSE))),"",SUM(0,HLOOKUP(LARGE('Exhibit Data'!$L$23:$AE$23,2),'Exhibit Data'!$L$23:$AE$38,11,FALSE))&amp; " sec")</f>
        <v/>
      </c>
      <c r="X13" s="276" t="str">
        <f>IF(NOT(ISNUMBER(HLOOKUP(LARGE('Exhibit Data'!$L$23:$AE$23,3),'Exhibit Data'!$L$23:$AE$38,11,FALSE))),"",SUM(0,HLOOKUP(LARGE('Exhibit Data'!$L$23:$AE$23,3),'Exhibit Data'!$L$23:$AE$38,11,FALSE))&amp; " sec")</f>
        <v/>
      </c>
      <c r="Y13" s="48" t="str">
        <f t="shared" si="3"/>
        <v>0 sec</v>
      </c>
      <c r="Z13" s="48" t="str">
        <f t="shared" si="4"/>
        <v/>
      </c>
      <c r="AA13" s="48" t="str">
        <f t="shared" si="5"/>
        <v/>
      </c>
    </row>
    <row r="14" spans="1:27" x14ac:dyDescent="0.3">
      <c r="N14" s="112" t="str">
        <f xml:space="preserve"> IF(NOT(ISNUMBER(LARGE('Exhibit Data'!L9:AE9,1))),"",TEXT(MAX('Exhibit Data'!L9:AE9),"m/d/yy"))</f>
        <v>6/1/16</v>
      </c>
      <c r="O14" s="112" t="str">
        <f xml:space="preserve"> IF(NOT(ISNUMBER(LARGE('Exhibit Data'!L9:AE9,2))),"",TEXT(LARGE('Exhibit Data'!L9:AE9,2),"m/d/yy"))</f>
        <v/>
      </c>
      <c r="P14" s="112" t="str">
        <f xml:space="preserve"> IF(NOT(ISNUMBER(LARGE('Exhibit Data'!L9:AE9,3))),"",TEXT(LARGE('Exhibit Data'!L9:AE9,3),"m/d/yy"))</f>
        <v/>
      </c>
      <c r="Q14" s="289" t="str">
        <f>IF(AND(NOT($P$2=""),NOT($O$2=""),NOT($N$2="")),$P14,IF(AND(NOT($N$2=""),NOT($O$2="")),$O14,IF(NOT($N$2=""),$N14,"")))</f>
        <v>6/1/16</v>
      </c>
      <c r="R14" s="289" t="str">
        <f>IF(AND(NOT($P$2=""),NOT($O$2=""),NOT($N$2="")),$O14,IF(AND(NOT($N$2=""),NOT($O$2="")),$N14,IF(NOT($N$2=""),"","")))</f>
        <v/>
      </c>
      <c r="S14" s="278" t="str">
        <f>IF(AND(NOT($P$2=""),NOT($O$2=""),NOT($N$2="")),$N14,IF(AND(NOT($N$2=""),NOT($O$2="")),"",IF(NOT($N$2=""),"","")))</f>
        <v/>
      </c>
      <c r="T14" s="276" t="s">
        <v>598</v>
      </c>
      <c r="U14" s="48" t="str">
        <f>SUM(0,PreemptionForm!F84)&amp;" sec"</f>
        <v>0 sec</v>
      </c>
      <c r="V14" s="276" t="str">
        <f>IF(NOT(ISNUMBER(HLOOKUP(MAX('Exhibit Data'!$L$23:$AE$23),'Exhibit Data'!$L$23:$AE$38,12,FALSE))),"",SUM(0,HLOOKUP(MAX('Exhibit Data'!$L$23:$AE$23),'Exhibit Data'!$L$23:$AE$38,12,FALSE))&amp; " sec")</f>
        <v>6 sec</v>
      </c>
      <c r="W14" s="276" t="str">
        <f>IF(NOT(ISNUMBER(HLOOKUP(LARGE('Exhibit Data'!$L$23:$AE$23,2),'Exhibit Data'!$L$23:$AE$38,12,FALSE))),"",SUM(0,HLOOKUP(LARGE('Exhibit Data'!$L$23:$AE$23,2),'Exhibit Data'!$L$23:$AE$38,12,FALSE))&amp; " sec")</f>
        <v/>
      </c>
      <c r="X14" s="276" t="str">
        <f>IF(NOT(ISNUMBER(HLOOKUP(LARGE('Exhibit Data'!$L$23:$AE$23,3),'Exhibit Data'!$L$23:$AE$38,12,FALSE))),"",SUM(0,HLOOKUP(LARGE('Exhibit Data'!$L$23:$AE$23,3),'Exhibit Data'!$L$23:$AE$38,12,FALSE))&amp; " sec")</f>
        <v/>
      </c>
      <c r="Y14" s="48" t="str">
        <f t="shared" si="3"/>
        <v>6 sec</v>
      </c>
      <c r="Z14" s="48" t="str">
        <f t="shared" si="4"/>
        <v/>
      </c>
      <c r="AA14" s="48" t="str">
        <f t="shared" si="5"/>
        <v/>
      </c>
    </row>
    <row r="15" spans="1:27" x14ac:dyDescent="0.3">
      <c r="T15" s="48" t="s">
        <v>599</v>
      </c>
      <c r="U15" s="48" t="str">
        <f>SUM(0,PreemptionForm!F86)&amp; " sec"</f>
        <v>0 sec</v>
      </c>
      <c r="V15" s="276" t="str">
        <f>IF(NOT(ISNUMBER(HLOOKUP(MAX('Exhibit Data'!$L$23:$AE$23),'Exhibit Data'!$L$23:$AE$38,13,FALSE))),"",SUM(0,HLOOKUP(MAX('Exhibit Data'!$L$23:$AE$23),'Exhibit Data'!$L$23:$AE$38,13,FALSE))&amp; " sec")</f>
        <v>2 sec</v>
      </c>
      <c r="W15" s="276" t="str">
        <f>IF(NOT(ISNUMBER(HLOOKUP(LARGE('Exhibit Data'!$L$23:$AE$23,2),'Exhibit Data'!$L$23:$AE$38,13,FALSE))),"",SUM(0,HLOOKUP(LARGE('Exhibit Data'!$L$23:$AE$23,2),'Exhibit Data'!$L$23:$AE$38,13,FALSE))&amp; " sec")</f>
        <v/>
      </c>
      <c r="X15" s="276" t="str">
        <f>IF(NOT(ISNUMBER(HLOOKUP(LARGE('Exhibit Data'!$L$23:$AE$23,3),'Exhibit Data'!$L$23:$AE$38,13,FALSE))),"",SUM(0,HLOOKUP(LARGE('Exhibit Data'!$L$23:$AE$23,3),'Exhibit Data'!$L$23:$AE$38,13,FALSE))&amp; " sec")</f>
        <v/>
      </c>
      <c r="Y15" s="48" t="str">
        <f t="shared" si="3"/>
        <v>2 sec</v>
      </c>
      <c r="Z15" s="48" t="str">
        <f t="shared" si="4"/>
        <v/>
      </c>
      <c r="AA15" s="48" t="str">
        <f t="shared" si="5"/>
        <v/>
      </c>
    </row>
    <row r="16" spans="1:27" x14ac:dyDescent="0.3">
      <c r="T16" s="48" t="s">
        <v>601</v>
      </c>
      <c r="U16" s="48" t="str">
        <f>SUM(0,PreemptionForm!F93)&amp; " sec"</f>
        <v>0 sec</v>
      </c>
      <c r="V16" s="276" t="str">
        <f>IF(NOT(ISNUMBER(HLOOKUP(MAX('Exhibit Data'!$L$23:$AE$23),'Exhibit Data'!$L$23:$AE$38,14,FALSE))),"",SUM(0,HLOOKUP(MAX('Exhibit Data'!$L$23:$AE$23),'Exhibit Data'!$L$23:$AE$38,14,FALSE))&amp; " sec")</f>
        <v>0 sec</v>
      </c>
      <c r="W16" s="276" t="str">
        <f>IF(NOT(ISNUMBER(HLOOKUP(LARGE('Exhibit Data'!$L$23:$AE$23,2),'Exhibit Data'!$L$23:$AE$38,14,FALSE))),"",SUM(0,HLOOKUP(LARGE('Exhibit Data'!$L$23:$AE$23,2),'Exhibit Data'!$L$23:$AE$38,14,FALSE))&amp; " sec")</f>
        <v/>
      </c>
      <c r="X16" s="276" t="str">
        <f>IF(NOT(ISNUMBER(HLOOKUP(LARGE('Exhibit Data'!$L$23:$AE$23,3),'Exhibit Data'!$L$23:$AE$38,14,FALSE))),"",SUM(0,HLOOKUP(LARGE('Exhibit Data'!$L$23:$AE$23,3),'Exhibit Data'!$L$23:$AE$38,14,FALSE))&amp; " sec")</f>
        <v/>
      </c>
      <c r="Y16" s="48" t="str">
        <f t="shared" si="3"/>
        <v>0 sec</v>
      </c>
      <c r="Z16" s="48" t="str">
        <f t="shared" si="4"/>
        <v/>
      </c>
      <c r="AA16" s="48" t="str">
        <f t="shared" si="5"/>
        <v/>
      </c>
    </row>
    <row r="17" spans="20:27" x14ac:dyDescent="0.3">
      <c r="T17" s="48" t="s">
        <v>600</v>
      </c>
      <c r="U17" s="48" t="str">
        <f>SUM(0,PreemptionForm!F95)&amp; " sec"</f>
        <v>0 sec</v>
      </c>
      <c r="V17" s="276" t="str">
        <f>IF(NOT(ISNUMBER(HLOOKUP(MAX('Exhibit Data'!$L$23:$AE$23),'Exhibit Data'!$L$23:$AE$38,15,FALSE))),"",SUM(0,HLOOKUP(MAX('Exhibit Data'!$L$23:$AE$23),'Exhibit Data'!$L$23:$AE$38,15,FALSE))&amp; " sec")</f>
        <v>3 sec</v>
      </c>
      <c r="W17" s="276" t="str">
        <f>IF(NOT(ISNUMBER(HLOOKUP(LARGE('Exhibit Data'!$L$23:$AE$23,2),'Exhibit Data'!$L$23:$AE$38,15,FALSE))),"",SUM(0,HLOOKUP(LARGE('Exhibit Data'!$L$23:$AE$23,2),'Exhibit Data'!$L$23:$AE$38,15,FALSE))&amp; " sec")</f>
        <v/>
      </c>
      <c r="X17" s="276" t="str">
        <f>IF(NOT(ISNUMBER(HLOOKUP(LARGE('Exhibit Data'!$L$23:$AE$23,3),'Exhibit Data'!$L$23:$AE$38,15,FALSE))),"",SUM(0,HLOOKUP(LARGE('Exhibit Data'!$L$23:$AE$23,3),'Exhibit Data'!$L$23:$AE$38,15,FALSE))&amp; " sec")</f>
        <v/>
      </c>
      <c r="Y17" s="48" t="str">
        <f t="shared" si="3"/>
        <v>3 sec</v>
      </c>
      <c r="Z17" s="48" t="str">
        <f t="shared" si="4"/>
        <v/>
      </c>
      <c r="AA17" s="48" t="str">
        <f t="shared" si="5"/>
        <v/>
      </c>
    </row>
    <row r="18" spans="20:27" x14ac:dyDescent="0.3">
      <c r="T18" s="48" t="s">
        <v>594</v>
      </c>
      <c r="U18" s="275" t="str">
        <f>PreemptionForm!F107&amp;" sec"</f>
        <v>0 sec</v>
      </c>
      <c r="V18" s="276" t="str">
        <f>IF(NOT(ISNUMBER(HLOOKUP(MAX('Exhibit Data'!$L$23:$AE$23),'Exhibit Data'!$L$23:$AE$38,16,FALSE))),"",SUM(0,HLOOKUP(MAX('Exhibit Data'!$L$23:$AE$23),'Exhibit Data'!$L$23:$AE$38,16,FALSE))&amp; " sec")</f>
        <v>11 sec</v>
      </c>
      <c r="W18" s="276" t="str">
        <f>IF(NOT(ISNUMBER(HLOOKUP(LARGE('Exhibit Data'!$L$23:$AE$23,2),'Exhibit Data'!$L$23:$AE$38,16,FALSE))),"",SUM(0,HLOOKUP(LARGE('Exhibit Data'!$L$23:$AE$23,2),'Exhibit Data'!$L$23:$AE$38,16,FALSE))&amp; " sec")</f>
        <v/>
      </c>
      <c r="X18" s="276" t="str">
        <f>IF(NOT(ISNUMBER(HLOOKUP(LARGE('Exhibit Data'!$L$23:$AE$23,3),'Exhibit Data'!$L$23:$AE$38,16,FALSE))),"",SUM(0,HLOOKUP(LARGE('Exhibit Data'!$L$23:$AE$23,3),'Exhibit Data'!$L$23:$AE$38,16,FALSE))&amp; " sec")</f>
        <v/>
      </c>
      <c r="Y18" s="48" t="str">
        <f t="shared" si="3"/>
        <v>11 sec</v>
      </c>
      <c r="Z18" s="48" t="str">
        <f t="shared" si="4"/>
        <v/>
      </c>
      <c r="AA18" s="48" t="str">
        <f t="shared" si="5"/>
        <v/>
      </c>
    </row>
    <row r="19" spans="20:27" x14ac:dyDescent="0.3">
      <c r="V19" s="112" t="str">
        <f>IF(NOT(ISNUMBER(LARGE('Exhibit Data'!L23:AE23,1))),"",TEXT(MAX('Exhibit Data'!L23:AA23),"m/d/yy"))</f>
        <v>1/1/00</v>
      </c>
      <c r="W19" s="112" t="str">
        <f>IF(NOT(ISNUMBER(LARGE('Exhibit Data'!L23:AE23,2))),"",TEXT(LARGE('Exhibit Data'!L23:AA23,2),"m/d/yy"))</f>
        <v/>
      </c>
      <c r="X19" s="112" t="str">
        <f>IF(NOT(ISNUMBER(LARGE('Exhibit Data'!L23:AE23,3))),"",TEXT(LARGE('Exhibit Data'!L23:AA23,3),"m/d/yy"))</f>
        <v/>
      </c>
      <c r="Y19" s="48" t="str">
        <f t="shared" si="3"/>
        <v>1/1/00</v>
      </c>
      <c r="Z19" s="48" t="str">
        <f t="shared" si="4"/>
        <v/>
      </c>
      <c r="AA19" s="48" t="str">
        <f t="shared" si="5"/>
        <v/>
      </c>
    </row>
  </sheetData>
  <sheetProtection selectLockedCells="1"/>
  <pageMargins left="0.25" right="0.25" top="0.25" bottom="0.25" header="0" footer="0"/>
  <pageSetup orientation="landscape" r:id="rId1"/>
  <headerFooter>
    <oddHeader>&amp;C&amp;G</oddHead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B76"/>
  <sheetViews>
    <sheetView showGridLines="0" view="pageLayout" topLeftCell="A7" zoomScaleNormal="90" zoomScaleSheetLayoutView="100" workbookViewId="0">
      <selection activeCell="E25" sqref="E25"/>
    </sheetView>
  </sheetViews>
  <sheetFormatPr defaultColWidth="9.109375" defaultRowHeight="14.4" x14ac:dyDescent="0.3"/>
  <cols>
    <col min="1" max="1" width="21.5546875" customWidth="1"/>
    <col min="2" max="2" width="12.6640625" customWidth="1"/>
    <col min="3" max="3" width="16.6640625" customWidth="1"/>
    <col min="4" max="4" width="10" customWidth="1"/>
    <col min="5" max="5" width="10.109375" customWidth="1"/>
    <col min="6" max="6" width="2.33203125" customWidth="1"/>
    <col min="7" max="7" width="10.44140625" customWidth="1"/>
    <col min="8" max="9" width="2.109375" customWidth="1"/>
    <col min="10" max="10" width="5.6640625" customWidth="1"/>
    <col min="11" max="27" width="2.33203125" customWidth="1"/>
    <col min="28" max="28" width="1.33203125" customWidth="1"/>
  </cols>
  <sheetData>
    <row r="1" spans="1:28" ht="39" customHeight="1" x14ac:dyDescent="0.3">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183" t="s">
        <v>615</v>
      </c>
    </row>
    <row r="3" spans="1:28" x14ac:dyDescent="0.3">
      <c r="A3" s="1" t="s">
        <v>0</v>
      </c>
      <c r="B3" s="328" t="str">
        <f>IF(PreemptionForm!B5=0,"",PreemptionForm!B5)</f>
        <v/>
      </c>
      <c r="C3" s="328"/>
      <c r="L3" s="1" t="s">
        <v>2</v>
      </c>
      <c r="M3" s="329" t="str">
        <f>IF(PreemptionForm!O5=0,"",PreemptionForm!O5)</f>
        <v/>
      </c>
      <c r="N3" s="329"/>
      <c r="O3" s="329"/>
      <c r="P3" s="329"/>
      <c r="Q3" s="329"/>
      <c r="R3" s="329"/>
      <c r="S3" s="329"/>
      <c r="T3" s="329"/>
      <c r="U3" s="329"/>
      <c r="V3" s="329"/>
      <c r="W3" s="329"/>
      <c r="X3" s="329"/>
      <c r="Y3" s="329"/>
      <c r="Z3" s="329"/>
      <c r="AA3" s="329"/>
      <c r="AB3" s="329"/>
    </row>
    <row r="4" spans="1:28" ht="7.35" customHeight="1" x14ac:dyDescent="0.3">
      <c r="A4" s="1"/>
      <c r="B4" s="2"/>
      <c r="C4" s="2"/>
      <c r="E4" s="1"/>
      <c r="F4" s="2"/>
      <c r="G4" s="2"/>
      <c r="H4" s="2"/>
      <c r="I4" s="2"/>
      <c r="J4" s="2"/>
      <c r="K4" s="2"/>
      <c r="L4" s="2"/>
      <c r="M4" s="2"/>
      <c r="N4" s="2"/>
      <c r="O4" s="2"/>
      <c r="P4" s="2"/>
      <c r="Q4" s="2"/>
      <c r="R4" s="2"/>
      <c r="S4" s="2"/>
      <c r="T4" s="2"/>
      <c r="U4" s="2"/>
      <c r="V4" s="2"/>
      <c r="W4" s="2"/>
      <c r="X4" s="2"/>
      <c r="Y4" s="2"/>
      <c r="Z4" s="2"/>
      <c r="AA4" s="2"/>
      <c r="AB4" s="2"/>
    </row>
    <row r="5" spans="1:28" x14ac:dyDescent="0.3">
      <c r="A5" s="1" t="s">
        <v>1</v>
      </c>
      <c r="B5" s="328" t="str">
        <f>IF(PreemptionForm!B7=0,"",PreemptionForm!B7)</f>
        <v/>
      </c>
      <c r="C5" s="328"/>
      <c r="L5" s="1" t="s">
        <v>3</v>
      </c>
      <c r="M5" s="328" t="str">
        <f>IF(PreemptionForm!O7=0,"",PreemptionForm!O7)</f>
        <v/>
      </c>
      <c r="N5" s="328"/>
      <c r="O5" s="328"/>
      <c r="P5" s="328"/>
      <c r="Q5" s="328"/>
      <c r="R5" s="328"/>
      <c r="S5" s="328"/>
      <c r="T5" s="328"/>
      <c r="U5" s="328"/>
      <c r="V5" s="328"/>
      <c r="W5" s="328"/>
      <c r="X5" s="328"/>
      <c r="Y5" s="328"/>
      <c r="Z5" s="328"/>
      <c r="AA5" s="328"/>
      <c r="AB5" s="328"/>
    </row>
    <row r="6" spans="1:28" ht="7.35" customHeight="1" x14ac:dyDescent="0.3">
      <c r="A6" s="1"/>
      <c r="B6" s="2"/>
      <c r="C6" s="2"/>
      <c r="E6" s="1"/>
      <c r="F6" s="2"/>
      <c r="G6" s="2"/>
      <c r="H6" s="2"/>
      <c r="I6" s="2"/>
      <c r="J6" s="2"/>
      <c r="K6" s="2"/>
      <c r="L6" s="2"/>
      <c r="M6" s="2"/>
      <c r="N6" s="2"/>
      <c r="O6" s="2"/>
      <c r="P6" s="2"/>
      <c r="Q6" s="2"/>
      <c r="R6" s="2"/>
      <c r="S6" s="2"/>
      <c r="T6" s="2"/>
      <c r="U6" s="2"/>
      <c r="V6" s="2"/>
      <c r="W6" s="2"/>
      <c r="X6" s="2"/>
      <c r="Y6" s="2"/>
      <c r="Z6" s="2"/>
      <c r="AA6" s="2"/>
      <c r="AB6" s="2"/>
    </row>
    <row r="7" spans="1:28" ht="15" customHeight="1" x14ac:dyDescent="0.3">
      <c r="A7" s="1" t="s">
        <v>54</v>
      </c>
      <c r="B7" s="328" t="str">
        <f>IF(PreemptionForm!B9=0,"",PreemptionForm!B9)</f>
        <v/>
      </c>
      <c r="C7" s="328"/>
      <c r="E7" s="1"/>
      <c r="F7" s="2"/>
      <c r="G7" s="2"/>
      <c r="H7" s="2"/>
      <c r="I7" s="2"/>
      <c r="J7" s="2"/>
      <c r="K7" s="2"/>
      <c r="L7" s="1" t="s">
        <v>55</v>
      </c>
      <c r="M7" s="328" t="str">
        <f>IF(PreemptionForm!O9=0,"",PreemptionForm!O9)</f>
        <v/>
      </c>
      <c r="N7" s="328"/>
      <c r="O7" s="328"/>
      <c r="P7" s="328"/>
      <c r="Q7" s="328"/>
      <c r="R7" s="328"/>
      <c r="S7" s="328"/>
      <c r="T7" s="328"/>
      <c r="U7" s="328"/>
      <c r="V7" s="328"/>
      <c r="W7" s="328"/>
      <c r="X7" s="328"/>
      <c r="Y7" s="328"/>
      <c r="Z7" s="328"/>
      <c r="AA7" s="328"/>
      <c r="AB7" s="328"/>
    </row>
    <row r="8" spans="1:28" ht="6.6" customHeight="1" x14ac:dyDescent="0.3">
      <c r="A8" s="1"/>
      <c r="B8" s="2"/>
      <c r="C8" s="2"/>
      <c r="E8" s="1"/>
      <c r="F8" s="2"/>
      <c r="G8" s="2"/>
      <c r="H8" s="2"/>
      <c r="I8" s="2"/>
      <c r="J8" s="2"/>
      <c r="K8" s="2"/>
      <c r="L8" s="1"/>
      <c r="M8" s="1"/>
      <c r="N8" s="1"/>
      <c r="O8" s="1"/>
      <c r="P8" s="1"/>
      <c r="Q8" s="1"/>
      <c r="R8" s="1"/>
      <c r="S8" s="1"/>
      <c r="T8" s="1"/>
      <c r="U8" s="1"/>
      <c r="V8" s="1"/>
      <c r="W8" s="1"/>
      <c r="X8" s="1"/>
      <c r="Y8" s="1"/>
      <c r="Z8" s="1"/>
      <c r="AA8" s="1"/>
      <c r="AB8" s="1"/>
    </row>
    <row r="9" spans="1:28" ht="15" customHeight="1" x14ac:dyDescent="0.3">
      <c r="A9" s="1" t="s">
        <v>66</v>
      </c>
      <c r="B9" s="328" t="str">
        <f>IF(PreemptionForm!B11=0,"",PreemptionForm!B11)</f>
        <v/>
      </c>
      <c r="C9" s="328"/>
      <c r="E9" s="1"/>
      <c r="F9" s="2"/>
      <c r="G9" s="2"/>
      <c r="H9" s="2"/>
      <c r="I9" s="2"/>
      <c r="J9" s="2"/>
      <c r="K9" s="2"/>
      <c r="L9" s="1" t="s">
        <v>4</v>
      </c>
      <c r="M9" s="328" t="str">
        <f>IF(PreemptionForm!O11=0,"",PreemptionForm!O11)</f>
        <v/>
      </c>
      <c r="N9" s="328"/>
      <c r="O9" s="328"/>
      <c r="P9" s="328"/>
      <c r="Q9" s="328"/>
      <c r="R9" s="328"/>
      <c r="S9" s="328"/>
      <c r="T9" s="328"/>
      <c r="U9" s="328"/>
      <c r="V9" s="328"/>
      <c r="W9" s="328"/>
      <c r="X9" s="328"/>
      <c r="Y9" s="328"/>
      <c r="Z9" s="328"/>
      <c r="AA9" s="328"/>
      <c r="AB9" s="328"/>
    </row>
    <row r="10" spans="1:28" ht="5.85" customHeight="1" x14ac:dyDescent="0.3">
      <c r="A10" s="1"/>
      <c r="B10" s="2"/>
      <c r="C10" s="2"/>
      <c r="E10" s="1"/>
      <c r="F10" s="2"/>
      <c r="G10" s="2"/>
      <c r="H10" s="2"/>
      <c r="I10" s="2"/>
      <c r="J10" s="2"/>
      <c r="K10" s="2"/>
      <c r="L10" s="1"/>
      <c r="M10" s="1"/>
      <c r="N10" s="1"/>
      <c r="O10" s="1"/>
      <c r="P10" s="1"/>
      <c r="Q10" s="1"/>
      <c r="R10" s="1"/>
      <c r="S10" s="1"/>
      <c r="T10" s="1"/>
      <c r="U10" s="1"/>
      <c r="V10" s="1"/>
      <c r="W10" s="1"/>
      <c r="X10" s="1"/>
      <c r="Y10" s="1"/>
      <c r="Z10" s="1"/>
      <c r="AA10" s="1"/>
      <c r="AB10" s="1"/>
    </row>
    <row r="11" spans="1:28" ht="15" customHeight="1" x14ac:dyDescent="0.3">
      <c r="A11" s="1" t="s">
        <v>65</v>
      </c>
      <c r="B11" s="328" t="str">
        <f>IF(PreemptionForm!B13=0,"",PreemptionForm!B13)</f>
        <v/>
      </c>
      <c r="C11" s="328"/>
      <c r="E11" s="1"/>
      <c r="F11" s="2"/>
      <c r="G11" s="2"/>
      <c r="H11" s="2"/>
      <c r="I11" s="2"/>
      <c r="J11" s="2"/>
      <c r="K11" s="2"/>
      <c r="L11" s="1" t="s">
        <v>595</v>
      </c>
      <c r="M11" s="328" t="str">
        <f>IF(PreemptionForm!O13=0,"",PreemptionForm!O13)</f>
        <v/>
      </c>
      <c r="N11" s="328"/>
      <c r="O11" s="328"/>
      <c r="P11" s="328"/>
      <c r="Q11" s="328"/>
      <c r="R11" s="328"/>
      <c r="S11" s="328"/>
      <c r="T11" s="328"/>
      <c r="U11" s="328"/>
      <c r="V11" s="328"/>
      <c r="W11" s="328"/>
      <c r="X11" s="328"/>
      <c r="Y11" s="328"/>
      <c r="Z11" s="328"/>
      <c r="AA11" s="328"/>
      <c r="AB11" s="328"/>
    </row>
    <row r="12" spans="1:28" ht="7.35" customHeight="1" x14ac:dyDescent="0.3">
      <c r="A12" s="1"/>
      <c r="B12" s="2"/>
      <c r="C12" s="2"/>
      <c r="E12" s="1"/>
      <c r="F12" s="2"/>
      <c r="G12" s="2"/>
      <c r="H12" s="2"/>
      <c r="I12" s="2"/>
      <c r="J12" s="2"/>
      <c r="K12" s="2"/>
      <c r="L12" s="1"/>
      <c r="M12" s="2"/>
      <c r="N12" s="2"/>
      <c r="O12" s="2"/>
      <c r="P12" s="2"/>
      <c r="Q12" s="2"/>
      <c r="R12" s="2"/>
      <c r="S12" s="2"/>
      <c r="T12" s="2"/>
      <c r="U12" s="2"/>
      <c r="V12" s="2"/>
      <c r="W12" s="2"/>
      <c r="X12" s="2"/>
      <c r="Y12" s="2"/>
      <c r="Z12" s="2"/>
      <c r="AA12" s="2"/>
      <c r="AB12" s="2"/>
    </row>
    <row r="13" spans="1:28" ht="15" customHeight="1" x14ac:dyDescent="0.3">
      <c r="A13" s="1" t="s">
        <v>611</v>
      </c>
      <c r="B13" s="328" t="str">
        <f>IF(PreemptionForm!B15=0,"",PreemptionForm!B15)</f>
        <v/>
      </c>
      <c r="C13" s="328"/>
      <c r="D13" s="290"/>
      <c r="E13" s="1"/>
      <c r="F13" s="2"/>
      <c r="G13" s="2"/>
      <c r="H13" s="2"/>
      <c r="I13" s="2"/>
      <c r="J13" s="2"/>
      <c r="K13" s="2"/>
      <c r="L13" s="1" t="s">
        <v>50</v>
      </c>
      <c r="M13" s="328" t="str">
        <f>IF(PreemptionForm!O15=0,"",PreemptionForm!O15)</f>
        <v/>
      </c>
      <c r="N13" s="328"/>
      <c r="O13" s="328"/>
      <c r="P13" s="328"/>
      <c r="Q13" s="328"/>
      <c r="R13" s="328"/>
      <c r="S13" s="328"/>
      <c r="T13" s="328"/>
      <c r="U13" s="328"/>
      <c r="V13" s="328"/>
      <c r="W13" s="328"/>
      <c r="X13" s="328"/>
      <c r="Y13" s="328"/>
      <c r="Z13" s="328"/>
      <c r="AA13" s="328"/>
      <c r="AB13" s="328"/>
    </row>
    <row r="14" spans="1:28" ht="15" customHeight="1" x14ac:dyDescent="0.3">
      <c r="A14" s="1"/>
      <c r="B14" s="2"/>
      <c r="C14" s="2"/>
      <c r="E14" s="1"/>
      <c r="F14" s="2"/>
      <c r="G14" s="2"/>
      <c r="H14" s="2"/>
      <c r="I14" s="2"/>
      <c r="J14" s="2"/>
      <c r="K14" s="2"/>
      <c r="L14" s="1"/>
      <c r="M14" s="2"/>
      <c r="N14" s="2"/>
      <c r="O14" s="2"/>
      <c r="P14" s="2"/>
      <c r="Q14" s="2"/>
      <c r="R14" s="2"/>
      <c r="S14" s="2"/>
      <c r="T14" s="2"/>
      <c r="U14" s="2"/>
      <c r="V14" s="2"/>
      <c r="W14" s="2"/>
      <c r="X14" s="2"/>
      <c r="Y14" s="2"/>
      <c r="Z14" s="2"/>
      <c r="AA14" s="2"/>
      <c r="AB14" s="2"/>
    </row>
    <row r="15" spans="1:28" ht="15" customHeight="1" x14ac:dyDescent="0.3">
      <c r="A15" s="218" t="s">
        <v>449</v>
      </c>
    </row>
    <row r="16" spans="1:28" ht="6.6" customHeight="1" x14ac:dyDescent="0.3"/>
    <row r="17" spans="1:28" x14ac:dyDescent="0.3">
      <c r="A17" s="258" t="s">
        <v>31</v>
      </c>
      <c r="G17" s="10" t="s">
        <v>24</v>
      </c>
      <c r="H17" s="10"/>
      <c r="I17" s="10"/>
    </row>
    <row r="18" spans="1:28" x14ac:dyDescent="0.3">
      <c r="D18" s="13" t="s">
        <v>251</v>
      </c>
      <c r="E18" s="24" t="s">
        <v>22</v>
      </c>
      <c r="G18" s="292"/>
      <c r="H18" s="292"/>
      <c r="I18" s="292"/>
      <c r="J18" s="292"/>
      <c r="K18" s="292"/>
      <c r="L18" s="292"/>
      <c r="M18" s="292"/>
      <c r="N18" s="292"/>
      <c r="O18" s="292"/>
      <c r="P18" s="292"/>
      <c r="Q18" s="292"/>
      <c r="R18" s="292"/>
      <c r="S18" s="292"/>
      <c r="T18" s="292"/>
      <c r="U18" s="292"/>
      <c r="V18" s="292"/>
      <c r="W18" s="292"/>
      <c r="X18" s="292"/>
      <c r="Y18" s="292"/>
      <c r="Z18" s="292"/>
      <c r="AA18" s="292"/>
      <c r="AB18" s="292"/>
    </row>
    <row r="19" spans="1:28" ht="9.9" customHeight="1" x14ac:dyDescent="0.3">
      <c r="G19" s="99"/>
      <c r="H19" s="99"/>
      <c r="I19" s="99"/>
      <c r="J19" s="99"/>
      <c r="K19" s="99"/>
      <c r="L19" s="99"/>
      <c r="M19" s="99"/>
      <c r="N19" s="99"/>
      <c r="O19" s="99"/>
      <c r="P19" s="99"/>
      <c r="Q19" s="99"/>
      <c r="R19" s="99"/>
      <c r="S19" s="99"/>
      <c r="T19" s="99"/>
      <c r="U19" s="99"/>
      <c r="V19" s="99"/>
      <c r="W19" s="99"/>
      <c r="X19" s="99"/>
      <c r="Y19" s="99"/>
      <c r="Z19" s="99"/>
      <c r="AA19" s="99"/>
      <c r="AB19" s="99"/>
    </row>
    <row r="20" spans="1:28" x14ac:dyDescent="0.3">
      <c r="D20" s="13" t="s">
        <v>252</v>
      </c>
      <c r="E20" s="159">
        <f>IF(E18="yes",PreemptionForm!E52,"N/A")</f>
        <v>0</v>
      </c>
      <c r="G20" s="192" t="s">
        <v>203</v>
      </c>
      <c r="H20" s="292"/>
      <c r="I20" s="292"/>
      <c r="J20" s="292"/>
      <c r="K20" s="292"/>
      <c r="L20" s="292"/>
      <c r="M20" s="292"/>
      <c r="N20" s="292"/>
      <c r="O20" s="292"/>
      <c r="P20" s="292"/>
      <c r="Q20" s="292"/>
      <c r="R20" s="292"/>
      <c r="S20" s="292"/>
      <c r="T20" s="292"/>
      <c r="U20" s="292"/>
      <c r="V20" s="292"/>
      <c r="W20" s="292"/>
      <c r="X20" s="292"/>
      <c r="Y20" s="292"/>
      <c r="Z20" s="292"/>
      <c r="AA20" s="292"/>
      <c r="AB20" s="292"/>
    </row>
    <row r="21" spans="1:28" ht="9.9" customHeight="1" x14ac:dyDescent="0.3">
      <c r="G21" s="99"/>
      <c r="H21" s="99"/>
      <c r="I21" s="99"/>
      <c r="J21" s="99"/>
      <c r="K21" s="99"/>
      <c r="L21" s="99"/>
      <c r="M21" s="99"/>
      <c r="N21" s="99"/>
      <c r="O21" s="99"/>
      <c r="P21" s="99"/>
      <c r="Q21" s="99"/>
      <c r="R21" s="99"/>
      <c r="S21" s="99"/>
      <c r="T21" s="99"/>
      <c r="U21" s="99"/>
      <c r="V21" s="99"/>
      <c r="W21" s="99"/>
      <c r="X21" s="99"/>
      <c r="Y21" s="99"/>
      <c r="Z21" s="99"/>
      <c r="AA21" s="99"/>
      <c r="AB21" s="99"/>
    </row>
    <row r="22" spans="1:28" x14ac:dyDescent="0.3">
      <c r="D22" s="13" t="s">
        <v>253</v>
      </c>
      <c r="E22" s="159">
        <f>IF(E18="yes",ROUNDUP(MAX('Calculation Summary'!C132,'Calculation Summary'!C136,'Calculation Summary'!C140,'Calculation Summary'!C144),0),"N/A")</f>
        <v>4</v>
      </c>
      <c r="G22" s="293" t="s">
        <v>205</v>
      </c>
      <c r="H22" s="293"/>
      <c r="I22" s="293"/>
      <c r="J22" s="293"/>
      <c r="K22" s="293"/>
      <c r="L22" s="293"/>
      <c r="M22" s="293"/>
      <c r="N22" s="293"/>
      <c r="O22" s="293"/>
      <c r="P22" s="293"/>
      <c r="Q22" s="293"/>
      <c r="R22" s="293"/>
      <c r="S22" s="292"/>
      <c r="T22" s="292"/>
      <c r="U22" s="292"/>
      <c r="V22" s="292"/>
      <c r="W22" s="292"/>
      <c r="X22" s="292"/>
      <c r="Y22" s="292"/>
      <c r="Z22" s="292"/>
      <c r="AA22" s="292"/>
      <c r="AB22" s="292"/>
    </row>
    <row r="23" spans="1:28" ht="9.9" customHeight="1" x14ac:dyDescent="0.3"/>
    <row r="24" spans="1:28" x14ac:dyDescent="0.3">
      <c r="A24" s="258" t="s">
        <v>30</v>
      </c>
      <c r="G24" s="10" t="s">
        <v>24</v>
      </c>
      <c r="H24" s="10"/>
      <c r="I24" s="10"/>
    </row>
    <row r="25" spans="1:28" x14ac:dyDescent="0.3">
      <c r="D25" s="13" t="s">
        <v>254</v>
      </c>
      <c r="E25" s="24" t="s">
        <v>22</v>
      </c>
      <c r="G25" s="292"/>
      <c r="H25" s="292"/>
      <c r="I25" s="292"/>
      <c r="J25" s="292"/>
      <c r="K25" s="292"/>
      <c r="L25" s="292"/>
      <c r="M25" s="292"/>
      <c r="N25" s="292"/>
      <c r="O25" s="292"/>
      <c r="P25" s="292"/>
      <c r="Q25" s="292"/>
      <c r="R25" s="292"/>
      <c r="S25" s="292"/>
      <c r="T25" s="292"/>
      <c r="U25" s="292"/>
      <c r="V25" s="292"/>
      <c r="W25" s="292"/>
      <c r="X25" s="292"/>
      <c r="Y25" s="292"/>
      <c r="Z25" s="292"/>
      <c r="AA25" s="292"/>
      <c r="AB25" s="292"/>
    </row>
    <row r="26" spans="1:28" ht="9.9" customHeight="1" x14ac:dyDescent="0.3">
      <c r="G26" s="99"/>
      <c r="H26" s="99"/>
      <c r="I26" s="99"/>
      <c r="J26" s="99"/>
      <c r="K26" s="99"/>
      <c r="L26" s="99"/>
      <c r="M26" s="99"/>
      <c r="N26" s="99"/>
      <c r="O26" s="99"/>
      <c r="P26" s="99"/>
      <c r="Q26" s="99"/>
      <c r="R26" s="99"/>
      <c r="S26" s="99"/>
      <c r="T26" s="99"/>
      <c r="U26" s="99"/>
      <c r="V26" s="99"/>
      <c r="W26" s="99"/>
      <c r="X26" s="99"/>
      <c r="Y26" s="99"/>
      <c r="Z26" s="99"/>
      <c r="AA26" s="99"/>
      <c r="AB26" s="99"/>
    </row>
    <row r="27" spans="1:28" x14ac:dyDescent="0.3">
      <c r="D27" s="13" t="s">
        <v>255</v>
      </c>
      <c r="E27" s="159">
        <f>IF(E25="yes",PreemptionForm!E54,"N/A")</f>
        <v>0</v>
      </c>
      <c r="G27" s="191" t="s">
        <v>204</v>
      </c>
      <c r="H27" s="292"/>
      <c r="I27" s="292"/>
      <c r="J27" s="292"/>
      <c r="K27" s="292"/>
      <c r="L27" s="292"/>
      <c r="M27" s="292"/>
      <c r="N27" s="292"/>
      <c r="O27" s="292"/>
      <c r="P27" s="292"/>
      <c r="Q27" s="292"/>
      <c r="R27" s="292"/>
      <c r="S27" s="292"/>
      <c r="T27" s="292"/>
      <c r="U27" s="292"/>
      <c r="V27" s="292"/>
      <c r="W27" s="292"/>
      <c r="X27" s="292"/>
      <c r="Y27" s="292"/>
      <c r="Z27" s="292"/>
      <c r="AA27" s="292"/>
      <c r="AB27" s="292"/>
    </row>
    <row r="28" spans="1:28" ht="9.9" customHeight="1" x14ac:dyDescent="0.3">
      <c r="G28" s="99"/>
      <c r="H28" s="99"/>
      <c r="I28" s="99"/>
      <c r="J28" s="99"/>
      <c r="K28" s="99"/>
      <c r="L28" s="99"/>
      <c r="M28" s="99"/>
      <c r="N28" s="99"/>
      <c r="O28" s="99"/>
      <c r="P28" s="99"/>
      <c r="Q28" s="99"/>
      <c r="R28" s="99"/>
      <c r="S28" s="99"/>
      <c r="T28" s="99"/>
      <c r="U28" s="99"/>
      <c r="V28" s="99"/>
      <c r="W28" s="99"/>
      <c r="X28" s="99"/>
      <c r="Y28" s="99"/>
      <c r="Z28" s="99"/>
      <c r="AA28" s="99"/>
      <c r="AB28" s="99"/>
    </row>
    <row r="29" spans="1:28" x14ac:dyDescent="0.3">
      <c r="D29" s="13" t="s">
        <v>256</v>
      </c>
      <c r="E29" s="159">
        <f>IF(E25="yes",ROUNDUP(MAX('Calculation Summary'!C151,'Calculation Summary'!C155,'Calculation Summary'!C159,'Calculation Summary'!C163),0),"N/A")</f>
        <v>16</v>
      </c>
      <c r="G29" s="293" t="s">
        <v>205</v>
      </c>
      <c r="H29" s="293"/>
      <c r="I29" s="293"/>
      <c r="J29" s="293"/>
      <c r="K29" s="293"/>
      <c r="L29" s="293"/>
      <c r="M29" s="293"/>
      <c r="N29" s="293"/>
      <c r="O29" s="293"/>
      <c r="P29" s="293"/>
      <c r="Q29" s="293"/>
      <c r="R29" s="293"/>
      <c r="S29" s="292"/>
      <c r="T29" s="292"/>
      <c r="U29" s="292"/>
      <c r="V29" s="292"/>
      <c r="W29" s="292"/>
      <c r="X29" s="292"/>
      <c r="Y29" s="292"/>
      <c r="Z29" s="292"/>
      <c r="AA29" s="292"/>
      <c r="AB29" s="292"/>
    </row>
    <row r="30" spans="1:28" ht="9.9" customHeight="1" x14ac:dyDescent="0.3">
      <c r="D30" s="13"/>
      <c r="E30" s="186"/>
      <c r="G30" s="252"/>
      <c r="H30" s="252"/>
      <c r="I30" s="252"/>
      <c r="J30" s="252"/>
      <c r="K30" s="252"/>
      <c r="L30" s="252"/>
      <c r="M30" s="252"/>
      <c r="N30" s="252"/>
      <c r="O30" s="252"/>
      <c r="P30" s="252"/>
      <c r="Q30" s="252"/>
      <c r="R30" s="99"/>
      <c r="S30" s="99"/>
      <c r="T30" s="99"/>
      <c r="U30" s="99"/>
      <c r="V30" s="99"/>
      <c r="W30" s="99"/>
      <c r="X30" s="99"/>
      <c r="Y30" s="99"/>
      <c r="Z30" s="99"/>
      <c r="AA30" s="99"/>
      <c r="AB30" s="99"/>
    </row>
    <row r="31" spans="1:28" x14ac:dyDescent="0.3">
      <c r="A31" s="258" t="s">
        <v>439</v>
      </c>
      <c r="D31" s="13"/>
      <c r="E31" s="186"/>
      <c r="G31" s="252"/>
      <c r="H31" s="252"/>
      <c r="I31" s="252"/>
      <c r="J31" s="252"/>
      <c r="K31" s="252"/>
      <c r="L31" s="252"/>
      <c r="M31" s="252"/>
      <c r="N31" s="252"/>
      <c r="O31" s="252"/>
      <c r="P31" s="252"/>
      <c r="Q31" s="252"/>
      <c r="R31" s="99"/>
      <c r="S31" s="99"/>
      <c r="T31" s="99"/>
      <c r="U31" s="99"/>
      <c r="V31" s="99"/>
      <c r="W31" s="99"/>
      <c r="X31" s="99"/>
      <c r="Y31" s="99"/>
      <c r="Z31" s="99"/>
      <c r="AA31" s="99"/>
      <c r="AB31" s="99"/>
    </row>
    <row r="32" spans="1:28" x14ac:dyDescent="0.3">
      <c r="A32" s="10"/>
      <c r="D32" s="13" t="s">
        <v>440</v>
      </c>
      <c r="E32" s="159">
        <f>ROUNDUP(MAX(0,IF(AND(E18="no",E25="no"),0),IF(E29="N/A",0,E29)-PreemptionForm!F107,IF(E22="N/A",0,E22)-PreemptionForm!F107),0)</f>
        <v>16</v>
      </c>
      <c r="G32" s="293" t="s">
        <v>205</v>
      </c>
      <c r="H32" s="293"/>
      <c r="I32" s="293"/>
      <c r="J32" s="293"/>
      <c r="K32" s="293"/>
      <c r="L32" s="293"/>
      <c r="M32" s="293"/>
      <c r="N32" s="293"/>
      <c r="O32" s="293"/>
      <c r="P32" s="293"/>
      <c r="Q32" s="293"/>
      <c r="R32" s="293"/>
      <c r="S32" s="292"/>
      <c r="T32" s="292"/>
      <c r="U32" s="292"/>
      <c r="V32" s="292"/>
      <c r="W32" s="292"/>
      <c r="X32" s="292"/>
      <c r="Y32" s="292"/>
      <c r="Z32" s="292"/>
      <c r="AA32" s="292"/>
      <c r="AB32" s="292"/>
    </row>
    <row r="33" spans="1:28" ht="141.9" customHeight="1" x14ac:dyDescent="0.3">
      <c r="D33" s="13"/>
      <c r="E33" s="186"/>
      <c r="G33" s="99"/>
      <c r="H33" s="99"/>
      <c r="I33" s="99"/>
      <c r="J33" s="99"/>
      <c r="K33" s="99"/>
      <c r="L33" s="99"/>
      <c r="M33" s="99"/>
      <c r="N33" s="99"/>
      <c r="O33" s="99"/>
      <c r="P33" s="99"/>
      <c r="Q33" s="99"/>
      <c r="R33" s="99"/>
      <c r="S33" s="99"/>
      <c r="T33" s="99"/>
      <c r="U33" s="99"/>
      <c r="V33" s="99"/>
      <c r="W33" s="99"/>
      <c r="X33" s="99"/>
      <c r="Y33" s="99"/>
      <c r="Z33" s="99"/>
      <c r="AA33" s="99"/>
      <c r="AB33" s="99"/>
    </row>
    <row r="34" spans="1:28" ht="27.75" customHeight="1" x14ac:dyDescent="0.3">
      <c r="A34" s="305" t="s">
        <v>180</v>
      </c>
      <c r="B34" s="305"/>
      <c r="C34" s="305"/>
      <c r="D34" s="305"/>
      <c r="E34" s="305"/>
      <c r="F34" s="305"/>
      <c r="G34" s="305"/>
      <c r="H34" s="201"/>
      <c r="I34" s="201"/>
      <c r="J34" s="201"/>
      <c r="K34" s="201"/>
      <c r="L34" s="201"/>
      <c r="M34" s="201"/>
      <c r="N34" s="201"/>
      <c r="O34" s="201"/>
      <c r="P34" s="201"/>
      <c r="Q34" s="201"/>
      <c r="R34" s="201"/>
      <c r="S34" s="201"/>
      <c r="T34" s="201"/>
      <c r="U34" s="201"/>
      <c r="V34" s="201"/>
      <c r="W34" s="201"/>
      <c r="X34" s="201"/>
      <c r="Y34" s="201"/>
      <c r="Z34" s="201"/>
      <c r="AA34" s="201"/>
      <c r="AB34" s="1" t="s">
        <v>181</v>
      </c>
    </row>
    <row r="35" spans="1:28" ht="7.35" customHeight="1" x14ac:dyDescent="0.3"/>
    <row r="36" spans="1:28" x14ac:dyDescent="0.3">
      <c r="D36" s="14"/>
      <c r="E36" s="28"/>
      <c r="G36" s="27"/>
      <c r="H36" s="27"/>
      <c r="I36" s="27"/>
      <c r="J36" s="27"/>
      <c r="K36" s="27"/>
      <c r="L36" s="27"/>
      <c r="M36" s="27"/>
      <c r="N36" s="27"/>
      <c r="O36" s="27"/>
      <c r="P36" s="27"/>
      <c r="Q36" s="27"/>
      <c r="R36" s="27"/>
      <c r="S36" s="27"/>
      <c r="T36" s="27"/>
      <c r="U36" s="27"/>
      <c r="V36" s="27"/>
      <c r="W36" s="27"/>
      <c r="X36" s="27"/>
      <c r="Y36" s="27"/>
      <c r="Z36" s="27"/>
      <c r="AA36" s="27"/>
      <c r="AB36" s="27"/>
    </row>
    <row r="37" spans="1:28" x14ac:dyDescent="0.3">
      <c r="D37" s="14"/>
      <c r="E37" s="28"/>
      <c r="H37" s="27"/>
      <c r="I37" s="27"/>
      <c r="J37" s="27"/>
      <c r="K37" s="27"/>
      <c r="L37" s="27"/>
      <c r="M37" s="27"/>
      <c r="N37" s="27"/>
      <c r="O37" s="27"/>
      <c r="P37" s="27"/>
      <c r="Q37" s="27"/>
      <c r="R37" s="27"/>
      <c r="S37" s="27"/>
      <c r="T37" s="27"/>
      <c r="U37" s="27"/>
      <c r="V37" s="27"/>
      <c r="W37" s="27"/>
      <c r="X37" s="27"/>
      <c r="Y37" s="27"/>
      <c r="Z37" s="27"/>
      <c r="AA37" s="27"/>
      <c r="AB37" s="27"/>
    </row>
    <row r="38" spans="1:28" x14ac:dyDescent="0.3">
      <c r="D38" s="14"/>
      <c r="E38" s="28"/>
      <c r="H38" s="27"/>
      <c r="I38" s="27"/>
      <c r="J38" s="27"/>
      <c r="K38" s="27"/>
      <c r="L38" s="27"/>
      <c r="M38" s="27"/>
      <c r="N38" s="27"/>
      <c r="O38" s="27"/>
      <c r="P38" s="27"/>
      <c r="Q38" s="27"/>
      <c r="R38" s="27"/>
      <c r="S38" s="27"/>
      <c r="T38" s="27"/>
      <c r="U38" s="27"/>
      <c r="V38" s="27"/>
      <c r="W38" s="27"/>
      <c r="X38" s="27"/>
      <c r="Y38" s="27"/>
      <c r="Z38" s="27"/>
      <c r="AA38" s="27"/>
      <c r="AB38" s="27"/>
    </row>
    <row r="39" spans="1:28" x14ac:dyDescent="0.3">
      <c r="D39" s="14"/>
      <c r="E39" s="28"/>
      <c r="H39" s="27"/>
      <c r="I39" s="27"/>
      <c r="J39" s="27"/>
      <c r="K39" s="27"/>
      <c r="L39" s="27"/>
      <c r="M39" s="27"/>
      <c r="N39" s="27"/>
      <c r="O39" s="27"/>
      <c r="P39" s="27"/>
      <c r="Q39" s="27"/>
      <c r="R39" s="27"/>
      <c r="S39" s="27"/>
      <c r="T39" s="27"/>
      <c r="U39" s="27"/>
      <c r="V39" s="27"/>
      <c r="W39" s="27"/>
      <c r="X39" s="27"/>
      <c r="Y39" s="27"/>
      <c r="Z39" s="27"/>
      <c r="AA39" s="27"/>
      <c r="AB39" s="27"/>
    </row>
    <row r="40" spans="1:28" x14ac:dyDescent="0.3">
      <c r="D40" s="14"/>
      <c r="E40" s="28"/>
      <c r="G40" s="27"/>
      <c r="H40" s="27"/>
      <c r="I40" s="27"/>
      <c r="J40" s="27"/>
      <c r="K40" s="27"/>
      <c r="L40" s="27"/>
      <c r="M40" s="27"/>
      <c r="N40" s="27"/>
      <c r="O40" s="27"/>
      <c r="P40" s="27"/>
      <c r="Q40" s="27"/>
      <c r="R40" s="27"/>
      <c r="S40" s="27"/>
      <c r="T40" s="27"/>
      <c r="U40" s="27"/>
      <c r="V40" s="27"/>
      <c r="W40" s="27"/>
      <c r="X40" s="27"/>
      <c r="Y40" s="27"/>
      <c r="Z40" s="27"/>
      <c r="AA40" s="27"/>
      <c r="AB40" s="27"/>
    </row>
    <row r="41" spans="1:28" x14ac:dyDescent="0.3">
      <c r="D41" s="14"/>
      <c r="E41" s="28"/>
      <c r="G41" s="27"/>
      <c r="H41" s="27"/>
      <c r="I41" s="27"/>
      <c r="J41" s="27"/>
      <c r="K41" s="27"/>
      <c r="L41" s="27"/>
      <c r="M41" s="27"/>
      <c r="N41" s="27"/>
      <c r="O41" s="27"/>
      <c r="P41" s="27"/>
      <c r="Q41" s="27"/>
      <c r="R41" s="27"/>
      <c r="S41" s="27"/>
      <c r="T41" s="27"/>
      <c r="U41" s="27"/>
      <c r="V41" s="27"/>
      <c r="W41" s="27"/>
      <c r="X41" s="27"/>
      <c r="Y41" s="27"/>
      <c r="Z41" s="27"/>
      <c r="AA41" s="27"/>
      <c r="AB41" s="27"/>
    </row>
    <row r="42" spans="1:28" x14ac:dyDescent="0.3">
      <c r="D42" s="14"/>
      <c r="E42" s="28"/>
      <c r="G42" s="27"/>
      <c r="H42" s="27"/>
      <c r="I42" s="27"/>
      <c r="J42" s="27"/>
      <c r="K42" s="27"/>
      <c r="L42" s="27"/>
      <c r="M42" s="27"/>
      <c r="N42" s="27"/>
      <c r="O42" s="27"/>
      <c r="P42" s="27"/>
      <c r="Q42" s="27"/>
      <c r="R42" s="27"/>
      <c r="S42" s="27"/>
      <c r="T42" s="27"/>
      <c r="U42" s="27"/>
      <c r="V42" s="27"/>
      <c r="W42" s="27"/>
      <c r="X42" s="27"/>
      <c r="Y42" s="27"/>
      <c r="Z42" s="27"/>
      <c r="AA42" s="27"/>
      <c r="AB42" s="27"/>
    </row>
    <row r="43" spans="1:28" x14ac:dyDescent="0.3">
      <c r="D43" s="14"/>
      <c r="E43" s="28"/>
      <c r="G43" s="27"/>
      <c r="H43" s="27"/>
      <c r="I43" s="27"/>
      <c r="J43" s="27"/>
      <c r="K43" s="27"/>
      <c r="L43" s="27"/>
      <c r="M43" s="27"/>
      <c r="N43" s="27"/>
      <c r="O43" s="27"/>
      <c r="P43" s="27"/>
      <c r="Q43" s="27"/>
      <c r="R43" s="27"/>
      <c r="S43" s="27"/>
      <c r="T43" s="27"/>
      <c r="U43" s="27"/>
      <c r="V43" s="27"/>
      <c r="W43" s="27"/>
      <c r="X43" s="27"/>
      <c r="Y43" s="27"/>
      <c r="Z43" s="27"/>
      <c r="AA43" s="27"/>
      <c r="AB43" s="27"/>
    </row>
    <row r="44" spans="1:28" x14ac:dyDescent="0.3">
      <c r="D44" s="14"/>
      <c r="E44" s="28"/>
      <c r="G44" s="27"/>
      <c r="H44" s="27"/>
      <c r="I44" s="27"/>
      <c r="J44" s="27"/>
      <c r="K44" s="27"/>
      <c r="L44" s="27"/>
      <c r="M44" s="27"/>
      <c r="N44" s="27"/>
      <c r="O44" s="27"/>
      <c r="P44" s="27"/>
      <c r="Q44" s="27"/>
      <c r="R44" s="27"/>
      <c r="S44" s="27"/>
      <c r="T44" s="27"/>
      <c r="U44" s="27"/>
      <c r="V44" s="27"/>
      <c r="W44" s="27"/>
      <c r="X44" s="27"/>
      <c r="Y44" s="27"/>
      <c r="Z44" s="27"/>
      <c r="AA44" s="27"/>
      <c r="AB44" s="27"/>
    </row>
    <row r="45" spans="1:28" x14ac:dyDescent="0.3">
      <c r="D45" s="14"/>
      <c r="E45" s="28"/>
      <c r="G45" s="27"/>
      <c r="H45" s="27"/>
      <c r="I45" s="27"/>
      <c r="J45" s="27"/>
      <c r="K45" s="27"/>
      <c r="L45" s="27"/>
      <c r="M45" s="27"/>
      <c r="N45" s="27"/>
      <c r="O45" s="27"/>
      <c r="P45" s="27"/>
      <c r="Q45" s="27"/>
      <c r="R45" s="27"/>
      <c r="S45" s="27"/>
      <c r="T45" s="27"/>
      <c r="U45" s="27"/>
      <c r="V45" s="27"/>
      <c r="W45" s="27"/>
      <c r="X45" s="27"/>
      <c r="Y45" s="27"/>
      <c r="Z45" s="27"/>
      <c r="AA45" s="27"/>
      <c r="AB45" s="27"/>
    </row>
    <row r="46" spans="1:28" x14ac:dyDescent="0.3">
      <c r="D46" s="14"/>
      <c r="E46" s="28"/>
      <c r="G46" s="27"/>
      <c r="H46" s="27"/>
      <c r="I46" s="27"/>
      <c r="J46" s="27"/>
      <c r="K46" s="27"/>
      <c r="L46" s="27"/>
      <c r="M46" s="27"/>
      <c r="N46" s="27"/>
      <c r="O46" s="27"/>
      <c r="P46" s="27"/>
      <c r="Q46" s="27"/>
      <c r="R46" s="27"/>
      <c r="S46" s="27"/>
      <c r="T46" s="27"/>
      <c r="U46" s="27"/>
      <c r="V46" s="27"/>
      <c r="W46" s="27"/>
      <c r="X46" s="27"/>
      <c r="Y46" s="27"/>
      <c r="Z46" s="27"/>
      <c r="AA46" s="27"/>
      <c r="AB46" s="27"/>
    </row>
    <row r="47" spans="1:28" x14ac:dyDescent="0.3">
      <c r="D47" s="14"/>
      <c r="E47" s="28"/>
      <c r="G47" s="27"/>
      <c r="H47" s="27"/>
      <c r="I47" s="27"/>
      <c r="J47" s="27"/>
      <c r="K47" s="27"/>
      <c r="L47" s="27"/>
      <c r="M47" s="27"/>
      <c r="N47" s="27"/>
      <c r="O47" s="27"/>
      <c r="P47" s="27"/>
      <c r="Q47" s="27"/>
      <c r="R47" s="27"/>
      <c r="S47" s="27"/>
      <c r="T47" s="27"/>
      <c r="U47" s="27"/>
      <c r="V47" s="27"/>
      <c r="W47" s="27"/>
      <c r="X47" s="27"/>
      <c r="Y47" s="27"/>
      <c r="Z47" s="27"/>
      <c r="AA47" s="27"/>
      <c r="AB47" s="27"/>
    </row>
    <row r="48" spans="1:28" x14ac:dyDescent="0.3">
      <c r="D48" s="14"/>
      <c r="E48" s="28"/>
      <c r="G48" s="27"/>
      <c r="H48" s="27"/>
      <c r="I48" s="27"/>
      <c r="J48" s="27"/>
      <c r="K48" s="27"/>
      <c r="L48" s="27"/>
      <c r="M48" s="27"/>
      <c r="N48" s="27"/>
      <c r="O48" s="27"/>
      <c r="P48" s="27"/>
      <c r="Q48" s="27"/>
      <c r="R48" s="27"/>
      <c r="S48" s="27"/>
      <c r="T48" s="27"/>
      <c r="U48" s="27"/>
      <c r="V48" s="27"/>
      <c r="W48" s="27"/>
      <c r="X48" s="27"/>
      <c r="Y48" s="27"/>
      <c r="Z48" s="27"/>
      <c r="AA48" s="27"/>
      <c r="AB48" s="27"/>
    </row>
    <row r="49" spans="1:28" x14ac:dyDescent="0.3">
      <c r="D49" s="14"/>
      <c r="E49" s="28"/>
      <c r="G49" s="27"/>
      <c r="H49" s="27"/>
      <c r="I49" s="27"/>
      <c r="J49" s="27"/>
      <c r="K49" s="27"/>
      <c r="L49" s="27"/>
      <c r="M49" s="27"/>
      <c r="N49" s="27"/>
      <c r="O49" s="27"/>
      <c r="P49" s="27"/>
      <c r="Q49" s="27"/>
      <c r="R49" s="27"/>
      <c r="S49" s="27"/>
      <c r="T49" s="27"/>
      <c r="U49" s="27"/>
      <c r="V49" s="27"/>
      <c r="W49" s="27"/>
      <c r="X49" s="27"/>
      <c r="Y49" s="27"/>
      <c r="Z49" s="27"/>
      <c r="AA49" s="27"/>
      <c r="AB49" s="27"/>
    </row>
    <row r="50" spans="1:28" x14ac:dyDescent="0.3">
      <c r="D50" s="14"/>
      <c r="E50" s="28"/>
      <c r="G50" s="27"/>
      <c r="H50" s="27"/>
      <c r="I50" s="27"/>
      <c r="J50" s="27"/>
      <c r="K50" s="27"/>
      <c r="L50" s="27"/>
      <c r="M50" s="27"/>
      <c r="N50" s="27"/>
      <c r="O50" s="27"/>
      <c r="P50" s="27"/>
      <c r="Q50" s="27"/>
      <c r="R50" s="27"/>
      <c r="S50" s="27"/>
      <c r="T50" s="27"/>
      <c r="U50" s="27"/>
      <c r="V50" s="27"/>
      <c r="W50" s="27"/>
      <c r="X50" s="27"/>
      <c r="Y50" s="27"/>
      <c r="Z50" s="27"/>
      <c r="AA50" s="27"/>
      <c r="AB50" s="27"/>
    </row>
    <row r="51" spans="1:28" x14ac:dyDescent="0.3">
      <c r="D51" s="14"/>
      <c r="E51" s="28"/>
      <c r="G51" s="27"/>
      <c r="H51" s="27"/>
      <c r="I51" s="27"/>
      <c r="J51" s="27"/>
      <c r="K51" s="27"/>
      <c r="L51" s="27"/>
      <c r="M51" s="27"/>
      <c r="N51" s="27"/>
      <c r="O51" s="27"/>
      <c r="P51" s="27"/>
      <c r="Q51" s="27"/>
      <c r="R51" s="27"/>
      <c r="S51" s="27"/>
      <c r="T51" s="27"/>
      <c r="U51" s="27"/>
      <c r="V51" s="27"/>
      <c r="W51" s="27"/>
      <c r="X51" s="27"/>
      <c r="Y51" s="27"/>
      <c r="Z51" s="27"/>
      <c r="AA51" s="27"/>
      <c r="AB51" s="27"/>
    </row>
    <row r="52" spans="1:28" x14ac:dyDescent="0.3">
      <c r="D52" s="14"/>
      <c r="E52" s="28"/>
      <c r="G52" s="27"/>
      <c r="H52" s="27"/>
      <c r="I52" s="27"/>
      <c r="J52" s="27"/>
      <c r="K52" s="27"/>
      <c r="L52" s="27"/>
      <c r="M52" s="27"/>
      <c r="N52" s="27"/>
      <c r="O52" s="27"/>
      <c r="P52" s="27"/>
      <c r="Q52" s="27"/>
      <c r="R52" s="27"/>
      <c r="S52" s="27"/>
      <c r="T52" s="27"/>
      <c r="U52" s="27"/>
      <c r="V52" s="27"/>
      <c r="W52" s="27"/>
      <c r="X52" s="27"/>
      <c r="Y52" s="27"/>
      <c r="Z52" s="27"/>
      <c r="AA52" s="27"/>
      <c r="AB52" s="27"/>
    </row>
    <row r="53" spans="1:28" x14ac:dyDescent="0.3">
      <c r="D53" s="14"/>
      <c r="E53" s="28"/>
      <c r="G53" s="27"/>
      <c r="H53" s="27"/>
      <c r="I53" s="27"/>
      <c r="J53" s="27"/>
      <c r="K53" s="27"/>
      <c r="L53" s="27"/>
      <c r="M53" s="27"/>
      <c r="N53" s="27"/>
      <c r="O53" s="27"/>
      <c r="P53" s="27"/>
      <c r="Q53" s="27"/>
      <c r="R53" s="27"/>
      <c r="S53" s="27"/>
      <c r="T53" s="27"/>
      <c r="U53" s="27"/>
      <c r="V53" s="27"/>
      <c r="W53" s="27"/>
      <c r="X53" s="27"/>
      <c r="Y53" s="27"/>
      <c r="Z53" s="27"/>
      <c r="AA53" s="27"/>
      <c r="AB53" s="27"/>
    </row>
    <row r="54" spans="1:28" x14ac:dyDescent="0.3">
      <c r="D54" s="14"/>
      <c r="E54" s="28"/>
      <c r="G54" s="27"/>
      <c r="H54" s="27"/>
      <c r="I54" s="27"/>
      <c r="J54" s="27"/>
      <c r="K54" s="27"/>
      <c r="L54" s="27"/>
      <c r="M54" s="27"/>
      <c r="N54" s="27"/>
      <c r="O54" s="27"/>
      <c r="P54" s="27"/>
      <c r="Q54" s="27"/>
      <c r="R54" s="27"/>
      <c r="S54" s="27"/>
      <c r="T54" s="27"/>
      <c r="U54" s="27"/>
      <c r="V54" s="27"/>
      <c r="W54" s="27"/>
      <c r="X54" s="27"/>
      <c r="Y54" s="27"/>
      <c r="Z54" s="27"/>
      <c r="AA54" s="27"/>
      <c r="AB54" s="27"/>
    </row>
    <row r="55" spans="1:28" x14ac:dyDescent="0.3">
      <c r="D55" s="14"/>
      <c r="E55" s="28"/>
      <c r="G55" s="27"/>
      <c r="H55" s="27"/>
      <c r="I55" s="27"/>
      <c r="J55" s="27"/>
      <c r="K55" s="27"/>
      <c r="L55" s="27"/>
      <c r="M55" s="27"/>
      <c r="N55" s="27"/>
      <c r="O55" s="27"/>
      <c r="P55" s="27"/>
      <c r="Q55" s="27"/>
      <c r="R55" s="27"/>
      <c r="S55" s="27"/>
      <c r="T55" s="27"/>
      <c r="U55" s="27"/>
      <c r="V55" s="27"/>
      <c r="W55" s="27"/>
      <c r="X55" s="27"/>
      <c r="Y55" s="27"/>
      <c r="Z55" s="27"/>
      <c r="AA55" s="27"/>
      <c r="AB55" s="27"/>
    </row>
    <row r="56" spans="1:28" x14ac:dyDescent="0.3">
      <c r="D56" s="14"/>
      <c r="E56" s="28"/>
      <c r="G56" s="27"/>
      <c r="H56" s="27"/>
      <c r="I56" s="27"/>
      <c r="J56" s="27"/>
      <c r="K56" s="27"/>
      <c r="L56" s="27"/>
      <c r="M56" s="27"/>
      <c r="N56" s="27"/>
      <c r="O56" s="27"/>
      <c r="P56" s="27"/>
      <c r="Q56" s="27"/>
      <c r="R56" s="27"/>
      <c r="S56" s="27"/>
      <c r="T56" s="27"/>
      <c r="U56" s="27"/>
      <c r="V56" s="27"/>
      <c r="W56" s="27"/>
      <c r="X56" s="27"/>
      <c r="Y56" s="27"/>
      <c r="Z56" s="27"/>
      <c r="AA56" s="27"/>
      <c r="AB56" s="27"/>
    </row>
    <row r="59" spans="1:28" x14ac:dyDescent="0.3">
      <c r="A59" s="17"/>
      <c r="C59" s="17"/>
      <c r="D59" s="17"/>
      <c r="E59" s="18"/>
      <c r="F59" s="41"/>
    </row>
    <row r="60" spans="1:28" x14ac:dyDescent="0.3">
      <c r="A60" s="17"/>
      <c r="C60" s="17"/>
      <c r="D60" s="17"/>
      <c r="E60" s="18"/>
      <c r="F60" s="41"/>
    </row>
    <row r="61" spans="1:28" x14ac:dyDescent="0.3">
      <c r="A61" s="17"/>
      <c r="C61" s="17"/>
      <c r="D61" s="17"/>
      <c r="E61" s="18"/>
      <c r="F61" s="41"/>
    </row>
    <row r="62" spans="1:28" x14ac:dyDescent="0.3">
      <c r="A62" s="17"/>
      <c r="C62" s="17"/>
      <c r="D62" s="17"/>
      <c r="E62" s="18"/>
      <c r="F62" s="41"/>
    </row>
    <row r="63" spans="1:28" x14ac:dyDescent="0.3">
      <c r="A63" s="17"/>
      <c r="C63" s="18"/>
      <c r="D63" s="18"/>
      <c r="E63" s="42"/>
      <c r="F63" s="17"/>
    </row>
    <row r="64" spans="1:28" x14ac:dyDescent="0.3">
      <c r="A64" s="17"/>
      <c r="C64" s="18"/>
      <c r="D64" s="42"/>
      <c r="E64" s="17"/>
      <c r="F64" s="42"/>
    </row>
    <row r="65" spans="1:6" x14ac:dyDescent="0.3">
      <c r="A65" s="17"/>
      <c r="C65" s="17"/>
      <c r="D65" s="18"/>
      <c r="E65" s="17"/>
      <c r="F65" s="18"/>
    </row>
    <row r="66" spans="1:6" x14ac:dyDescent="0.3">
      <c r="A66" s="17"/>
      <c r="C66" s="187"/>
      <c r="D66" s="18"/>
      <c r="E66" s="17"/>
      <c r="F66" s="18"/>
    </row>
    <row r="67" spans="1:6" x14ac:dyDescent="0.3">
      <c r="A67" s="17"/>
      <c r="C67" s="187"/>
      <c r="D67" s="18"/>
      <c r="E67" s="17"/>
      <c r="F67" s="18"/>
    </row>
    <row r="68" spans="1:6" x14ac:dyDescent="0.3">
      <c r="A68" s="17"/>
      <c r="C68" s="18"/>
      <c r="D68" s="18"/>
      <c r="E68" s="43"/>
      <c r="F68" s="42"/>
    </row>
    <row r="69" spans="1:6" x14ac:dyDescent="0.3">
      <c r="A69" s="17"/>
      <c r="C69" s="18"/>
      <c r="D69" s="18"/>
      <c r="E69" s="17"/>
      <c r="F69" s="17"/>
    </row>
    <row r="70" spans="1:6" x14ac:dyDescent="0.3">
      <c r="A70" s="17"/>
      <c r="C70" s="18"/>
      <c r="D70" s="18"/>
      <c r="E70" s="17"/>
      <c r="F70" s="17"/>
    </row>
    <row r="71" spans="1:6" x14ac:dyDescent="0.3">
      <c r="A71" s="17"/>
      <c r="C71" s="18"/>
      <c r="D71" s="18"/>
      <c r="E71" s="17"/>
      <c r="F71" s="17"/>
    </row>
    <row r="72" spans="1:6" x14ac:dyDescent="0.3">
      <c r="A72" s="17"/>
      <c r="C72" s="17"/>
      <c r="D72" s="18"/>
      <c r="E72" s="17"/>
      <c r="F72" s="17"/>
    </row>
    <row r="73" spans="1:6" x14ac:dyDescent="0.3">
      <c r="A73" s="17"/>
      <c r="C73" s="17"/>
      <c r="D73" s="17"/>
      <c r="E73" s="17"/>
      <c r="F73" s="17"/>
    </row>
    <row r="74" spans="1:6" x14ac:dyDescent="0.3">
      <c r="A74" s="17"/>
      <c r="C74" s="17"/>
      <c r="D74" s="18"/>
      <c r="E74" s="18"/>
      <c r="F74" s="17"/>
    </row>
    <row r="75" spans="1:6" x14ac:dyDescent="0.3">
      <c r="A75" s="17"/>
      <c r="C75" s="17"/>
      <c r="D75" s="18"/>
      <c r="E75" s="17"/>
      <c r="F75" s="18"/>
    </row>
    <row r="76" spans="1:6" x14ac:dyDescent="0.3">
      <c r="A76" s="17"/>
      <c r="C76" s="17"/>
      <c r="D76" s="18"/>
      <c r="E76" s="17"/>
      <c r="F76" s="18"/>
    </row>
  </sheetData>
  <sheetProtection algorithmName="SHA-512" hashValue="LMFFlzxVt1ezGDXLBnfCWwVByd0FwRIVdwqFcBsrgpsvyzs+P++2slVt1gjOy+8pLABZXnQ1HE1wgBwc5NdabQ==" saltValue="wKJv6NUmpMC296z1+ugKmQ==" spinCount="100000" sheet="1" objects="1" selectLockedCells="1"/>
  <dataConsolidate/>
  <mergeCells count="23">
    <mergeCell ref="B11:C11"/>
    <mergeCell ref="B3:C3"/>
    <mergeCell ref="B5:C5"/>
    <mergeCell ref="B7:C7"/>
    <mergeCell ref="B9:C9"/>
    <mergeCell ref="A34:G34"/>
    <mergeCell ref="H27:AB27"/>
    <mergeCell ref="G29:R29"/>
    <mergeCell ref="S29:AB29"/>
    <mergeCell ref="G32:R32"/>
    <mergeCell ref="S32:AB32"/>
    <mergeCell ref="M3:AB3"/>
    <mergeCell ref="M5:AB5"/>
    <mergeCell ref="M7:AB7"/>
    <mergeCell ref="M9:AB9"/>
    <mergeCell ref="M11:AB11"/>
    <mergeCell ref="B13:C13"/>
    <mergeCell ref="M13:AB13"/>
    <mergeCell ref="H20:AB20"/>
    <mergeCell ref="G18:AB18"/>
    <mergeCell ref="G25:AB25"/>
    <mergeCell ref="G22:R22"/>
    <mergeCell ref="S22:AB22"/>
  </mergeCells>
  <printOptions horizontalCentered="1" verticalCentered="1"/>
  <pageMargins left="0.25" right="0.25" top="0.25" bottom="0.25" header="0" footer="0"/>
  <pageSetup scale="96" orientation="landscape" r:id="rId1"/>
  <drawing r:id="rId2"/>
  <legacyDrawingHF r:id="rId3"/>
  <extLst>
    <ext xmlns:x14="http://schemas.microsoft.com/office/spreadsheetml/2009/9/main" uri="{CCE6A557-97BC-4b89-ADB6-D9C93CAAB3DF}">
      <x14:dataValidations xmlns:xm="http://schemas.microsoft.com/office/excel/2006/main" count="2">
        <x14:dataValidation type="list" allowBlank="1" showInputMessage="1" showErrorMessage="1" promptTitle="Calc Conflicting Vehicle Time" xr:uid="{00000000-0002-0000-0100-000000000000}">
          <x14:formula1>
            <xm:f>Other!$E$1:$E$2</xm:f>
          </x14:formula1>
          <xm:sqref>E25</xm:sqref>
        </x14:dataValidation>
        <x14:dataValidation type="list" allowBlank="1" showInputMessage="1" showErrorMessage="1" promptTitle="Calc Approach Vehicle Time" xr:uid="{00000000-0002-0000-0100-000001000000}">
          <x14:formula1>
            <xm:f>Other!$E$1:$E$2</xm:f>
          </x14:formula1>
          <xm:sqref>E18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dimension ref="A1:AB63"/>
  <sheetViews>
    <sheetView showGridLines="0" view="pageLayout" zoomScaleNormal="90" zoomScaleSheetLayoutView="100" workbookViewId="0">
      <selection activeCell="E17" sqref="E17"/>
    </sheetView>
  </sheetViews>
  <sheetFormatPr defaultColWidth="9.109375" defaultRowHeight="14.4" x14ac:dyDescent="0.3"/>
  <cols>
    <col min="1" max="1" width="21.5546875" customWidth="1"/>
    <col min="2" max="2" width="12.6640625" customWidth="1"/>
    <col min="3" max="3" width="16.6640625" customWidth="1"/>
    <col min="4" max="4" width="10" customWidth="1"/>
    <col min="5" max="5" width="10.109375" customWidth="1"/>
    <col min="6" max="6" width="2.33203125" customWidth="1"/>
    <col min="7" max="7" width="10.44140625" customWidth="1"/>
    <col min="8" max="9" width="2.109375" customWidth="1"/>
    <col min="10" max="10" width="5.6640625" customWidth="1"/>
    <col min="11" max="27" width="2.33203125" customWidth="1"/>
    <col min="28" max="28" width="1.33203125" customWidth="1"/>
  </cols>
  <sheetData>
    <row r="1" spans="1:28" ht="39" customHeight="1" x14ac:dyDescent="0.3">
      <c r="AB1" s="183" t="s">
        <v>615</v>
      </c>
    </row>
    <row r="3" spans="1:28" x14ac:dyDescent="0.3">
      <c r="A3" s="1" t="s">
        <v>0</v>
      </c>
      <c r="B3" s="328" t="str">
        <f>IF(PreemptionForm!B5:D5=0,"",PreemptionForm!B5:D5)</f>
        <v/>
      </c>
      <c r="C3" s="328"/>
      <c r="L3" s="1" t="s">
        <v>2</v>
      </c>
      <c r="M3" s="329" t="str">
        <f>IF(PreemptionForm!O5=0,"",PreemptionForm!O5)</f>
        <v/>
      </c>
      <c r="N3" s="329"/>
      <c r="O3" s="329"/>
      <c r="P3" s="329"/>
      <c r="Q3" s="329"/>
      <c r="R3" s="329"/>
      <c r="S3" s="329"/>
      <c r="T3" s="329"/>
      <c r="U3" s="329"/>
      <c r="V3" s="329"/>
      <c r="W3" s="329"/>
      <c r="X3" s="329"/>
      <c r="Y3" s="329"/>
      <c r="Z3" s="329"/>
      <c r="AA3" s="329"/>
      <c r="AB3" s="329"/>
    </row>
    <row r="4" spans="1:28" ht="7.35" customHeight="1" x14ac:dyDescent="0.3">
      <c r="A4" s="1"/>
      <c r="B4" s="2"/>
      <c r="C4" s="2"/>
      <c r="E4" s="1"/>
      <c r="F4" s="2"/>
      <c r="G4" s="2"/>
      <c r="H4" s="2"/>
      <c r="I4" s="2"/>
      <c r="J4" s="2"/>
      <c r="K4" s="2"/>
      <c r="L4" s="2"/>
      <c r="M4" s="2"/>
      <c r="N4" s="2"/>
      <c r="O4" s="2"/>
      <c r="P4" s="2"/>
      <c r="Q4" s="2"/>
      <c r="R4" s="2"/>
      <c r="S4" s="2"/>
      <c r="T4" s="2"/>
      <c r="U4" s="2"/>
      <c r="V4" s="2"/>
      <c r="W4" s="2"/>
      <c r="X4" s="2"/>
      <c r="Y4" s="2"/>
      <c r="Z4" s="2"/>
      <c r="AA4" s="2"/>
      <c r="AB4" s="2"/>
    </row>
    <row r="5" spans="1:28" x14ac:dyDescent="0.3">
      <c r="A5" s="1" t="s">
        <v>1</v>
      </c>
      <c r="B5" s="328" t="str">
        <f>IF(PreemptionForm!B7:D7=0,"",PreemptionForm!B7:D7)</f>
        <v/>
      </c>
      <c r="C5" s="328"/>
      <c r="L5" s="1" t="s">
        <v>3</v>
      </c>
      <c r="M5" s="328" t="str">
        <f>IF(PreemptionForm!O7=0,"",PreemptionForm!O7)</f>
        <v/>
      </c>
      <c r="N5" s="328"/>
      <c r="O5" s="328"/>
      <c r="P5" s="328"/>
      <c r="Q5" s="328"/>
      <c r="R5" s="328"/>
      <c r="S5" s="328"/>
      <c r="T5" s="328"/>
      <c r="U5" s="328"/>
      <c r="V5" s="328"/>
      <c r="W5" s="328"/>
      <c r="X5" s="328"/>
      <c r="Y5" s="328"/>
      <c r="Z5" s="328"/>
      <c r="AA5" s="328"/>
      <c r="AB5" s="328"/>
    </row>
    <row r="6" spans="1:28" ht="7.35" customHeight="1" x14ac:dyDescent="0.3">
      <c r="A6" s="1"/>
      <c r="B6" s="2"/>
      <c r="C6" s="2"/>
      <c r="E6" s="1"/>
      <c r="F6" s="2"/>
      <c r="G6" s="2"/>
      <c r="H6" s="2"/>
      <c r="I6" s="2"/>
      <c r="J6" s="2"/>
      <c r="K6" s="2"/>
      <c r="L6" s="2"/>
      <c r="M6" s="2"/>
      <c r="N6" s="2"/>
      <c r="O6" s="2"/>
      <c r="P6" s="2"/>
      <c r="Q6" s="2"/>
      <c r="R6" s="2"/>
      <c r="S6" s="2"/>
      <c r="T6" s="2"/>
      <c r="U6" s="2"/>
      <c r="V6" s="2"/>
      <c r="W6" s="2"/>
      <c r="X6" s="2"/>
      <c r="Y6" s="2"/>
      <c r="Z6" s="2"/>
      <c r="AA6" s="2"/>
      <c r="AB6" s="2"/>
    </row>
    <row r="7" spans="1:28" ht="15" customHeight="1" x14ac:dyDescent="0.3">
      <c r="A7" s="1" t="s">
        <v>54</v>
      </c>
      <c r="B7" s="328" t="str">
        <f>IF(PreemptionForm!B9:D9=0,"",PreemptionForm!B9:D9)</f>
        <v/>
      </c>
      <c r="C7" s="328"/>
      <c r="E7" s="1"/>
      <c r="F7" s="2"/>
      <c r="G7" s="2"/>
      <c r="H7" s="2"/>
      <c r="I7" s="2"/>
      <c r="J7" s="2"/>
      <c r="K7" s="2"/>
      <c r="L7" s="1" t="s">
        <v>55</v>
      </c>
      <c r="M7" s="328" t="str">
        <f>IF(PreemptionForm!O9=0,"",PreemptionForm!O9)</f>
        <v/>
      </c>
      <c r="N7" s="328"/>
      <c r="O7" s="328"/>
      <c r="P7" s="328"/>
      <c r="Q7" s="328"/>
      <c r="R7" s="328"/>
      <c r="S7" s="328"/>
      <c r="T7" s="328"/>
      <c r="U7" s="328"/>
      <c r="V7" s="328"/>
      <c r="W7" s="328"/>
      <c r="X7" s="328"/>
      <c r="Y7" s="328"/>
      <c r="Z7" s="328"/>
      <c r="AA7" s="328"/>
      <c r="AB7" s="328"/>
    </row>
    <row r="8" spans="1:28" ht="6.6" customHeight="1" x14ac:dyDescent="0.3">
      <c r="A8" s="1"/>
      <c r="B8" s="2"/>
      <c r="C8" s="2"/>
      <c r="E8" s="1"/>
      <c r="F8" s="2"/>
      <c r="G8" s="2"/>
      <c r="H8" s="2"/>
      <c r="I8" s="2"/>
      <c r="J8" s="2"/>
      <c r="K8" s="2"/>
      <c r="L8" s="1"/>
      <c r="M8" s="2"/>
      <c r="N8" s="2"/>
      <c r="O8" s="2"/>
      <c r="P8" s="2"/>
      <c r="Q8" s="2"/>
      <c r="R8" s="2"/>
      <c r="S8" s="2"/>
      <c r="T8" s="2"/>
      <c r="U8" s="2"/>
      <c r="V8" s="2"/>
      <c r="W8" s="2"/>
      <c r="X8" s="2"/>
      <c r="Y8" s="2"/>
      <c r="Z8" s="2"/>
      <c r="AA8" s="2"/>
      <c r="AB8" s="2"/>
    </row>
    <row r="9" spans="1:28" ht="15" customHeight="1" x14ac:dyDescent="0.3">
      <c r="A9" s="1" t="s">
        <v>66</v>
      </c>
      <c r="B9" s="328" t="str">
        <f>IF(PreemptionForm!B11:D11=0,"",PreemptionForm!B11:D11)</f>
        <v/>
      </c>
      <c r="C9" s="328"/>
      <c r="E9" s="1"/>
      <c r="F9" s="2"/>
      <c r="G9" s="2"/>
      <c r="H9" s="2"/>
      <c r="I9" s="2"/>
      <c r="J9" s="2"/>
      <c r="K9" s="2"/>
      <c r="L9" s="1" t="s">
        <v>4</v>
      </c>
      <c r="M9" s="328" t="str">
        <f>IF(PreemptionForm!O11=0,"",PreemptionForm!O11)</f>
        <v/>
      </c>
      <c r="N9" s="328"/>
      <c r="O9" s="328"/>
      <c r="P9" s="328"/>
      <c r="Q9" s="328"/>
      <c r="R9" s="328"/>
      <c r="S9" s="328"/>
      <c r="T9" s="328"/>
      <c r="U9" s="328"/>
      <c r="V9" s="328"/>
      <c r="W9" s="328"/>
      <c r="X9" s="328"/>
      <c r="Y9" s="328"/>
      <c r="Z9" s="328"/>
      <c r="AA9" s="328"/>
      <c r="AB9" s="328"/>
    </row>
    <row r="10" spans="1:28" ht="5.85" customHeight="1" x14ac:dyDescent="0.3">
      <c r="A10" s="1"/>
      <c r="B10" s="2"/>
      <c r="C10" s="2"/>
      <c r="E10" s="1"/>
      <c r="F10" s="2"/>
      <c r="G10" s="2"/>
      <c r="H10" s="2"/>
      <c r="I10" s="2"/>
      <c r="J10" s="2"/>
      <c r="K10" s="2"/>
      <c r="L10" s="1"/>
      <c r="M10" s="2"/>
      <c r="N10" s="2"/>
      <c r="O10" s="2"/>
      <c r="P10" s="2"/>
      <c r="Q10" s="2"/>
      <c r="R10" s="2"/>
      <c r="S10" s="2"/>
      <c r="T10" s="2"/>
      <c r="U10" s="2"/>
      <c r="V10" s="2"/>
      <c r="W10" s="2"/>
      <c r="X10" s="2"/>
      <c r="Y10" s="2"/>
      <c r="Z10" s="2"/>
      <c r="AA10" s="2"/>
      <c r="AB10" s="2"/>
    </row>
    <row r="11" spans="1:28" ht="15" customHeight="1" x14ac:dyDescent="0.3">
      <c r="A11" s="1" t="s">
        <v>65</v>
      </c>
      <c r="B11" s="328" t="str">
        <f>IF(PreemptionForm!B13:D13=0,"",PreemptionForm!B13:D13)</f>
        <v/>
      </c>
      <c r="C11" s="328"/>
      <c r="E11" s="1"/>
      <c r="F11" s="2"/>
      <c r="G11" s="2"/>
      <c r="H11" s="2"/>
      <c r="I11" s="2"/>
      <c r="J11" s="2"/>
      <c r="K11" s="2"/>
      <c r="L11" s="1" t="s">
        <v>596</v>
      </c>
      <c r="M11" s="328" t="str">
        <f>IF(PreemptionForm!O13=0,"",PreemptionForm!O13)</f>
        <v/>
      </c>
      <c r="N11" s="328"/>
      <c r="O11" s="328"/>
      <c r="P11" s="328"/>
      <c r="Q11" s="328"/>
      <c r="R11" s="328"/>
      <c r="S11" s="328"/>
      <c r="T11" s="328"/>
      <c r="U11" s="328"/>
      <c r="V11" s="328"/>
      <c r="W11" s="328"/>
      <c r="X11" s="328"/>
      <c r="Y11" s="328"/>
      <c r="Z11" s="328"/>
      <c r="AA11" s="328"/>
      <c r="AB11" s="328"/>
    </row>
    <row r="12" spans="1:28" ht="7.35" customHeight="1" x14ac:dyDescent="0.3"/>
    <row r="13" spans="1:28" ht="15" customHeight="1" x14ac:dyDescent="0.3">
      <c r="A13" s="1" t="s">
        <v>611</v>
      </c>
      <c r="B13" s="328" t="str">
        <f>IF(PreemptionForm!B15=0,"",PreemptionForm!B15)</f>
        <v/>
      </c>
      <c r="C13" s="328"/>
      <c r="E13" s="1"/>
      <c r="F13" s="2"/>
      <c r="G13" s="2"/>
      <c r="H13" s="2"/>
      <c r="I13" s="2"/>
      <c r="J13" s="2"/>
      <c r="K13" s="2"/>
      <c r="L13" s="1" t="s">
        <v>50</v>
      </c>
      <c r="M13" s="328" t="str">
        <f>IF(PreemptionForm!O15=0,"",PreemptionForm!O15)</f>
        <v/>
      </c>
      <c r="N13" s="328"/>
      <c r="O13" s="328"/>
      <c r="P13" s="328"/>
      <c r="Q13" s="328"/>
      <c r="R13" s="328"/>
      <c r="S13" s="328"/>
      <c r="T13" s="328"/>
      <c r="U13" s="328"/>
      <c r="V13" s="328"/>
      <c r="W13" s="328"/>
      <c r="X13" s="328"/>
      <c r="Y13" s="328"/>
      <c r="Z13" s="328"/>
      <c r="AA13" s="328"/>
      <c r="AB13" s="328"/>
    </row>
    <row r="14" spans="1:28" ht="15" customHeight="1" x14ac:dyDescent="0.3"/>
    <row r="15" spans="1:28" ht="15" x14ac:dyDescent="0.3">
      <c r="A15" s="218" t="s">
        <v>450</v>
      </c>
      <c r="G15" s="10" t="s">
        <v>24</v>
      </c>
      <c r="H15" s="10"/>
      <c r="I15" s="10"/>
    </row>
    <row r="16" spans="1:28" ht="6.6" customHeight="1" x14ac:dyDescent="0.3">
      <c r="A16" s="218"/>
      <c r="G16" s="10"/>
      <c r="H16" s="10"/>
      <c r="I16" s="10"/>
    </row>
    <row r="17" spans="4:28" x14ac:dyDescent="0.3">
      <c r="D17" s="13" t="s">
        <v>458</v>
      </c>
      <c r="E17" s="24" t="s">
        <v>23</v>
      </c>
      <c r="G17" s="292"/>
      <c r="H17" s="292"/>
      <c r="I17" s="292"/>
      <c r="J17" s="292"/>
      <c r="K17" s="292"/>
      <c r="L17" s="292"/>
      <c r="M17" s="292"/>
      <c r="N17" s="292"/>
      <c r="O17" s="292"/>
      <c r="P17" s="292"/>
      <c r="Q17" s="292"/>
      <c r="R17" s="292"/>
      <c r="S17" s="292"/>
      <c r="T17" s="292"/>
      <c r="U17" s="292"/>
      <c r="V17" s="292"/>
      <c r="W17" s="292"/>
      <c r="X17" s="292"/>
      <c r="Y17" s="292"/>
      <c r="Z17" s="292"/>
      <c r="AA17" s="292"/>
      <c r="AB17" s="292"/>
    </row>
    <row r="18" spans="4:28" ht="9.9" customHeight="1" x14ac:dyDescent="0.3">
      <c r="G18" s="99"/>
      <c r="H18" s="99"/>
      <c r="I18" s="99"/>
      <c r="J18" s="99"/>
      <c r="K18" s="99"/>
      <c r="L18" s="99"/>
      <c r="M18" s="99"/>
      <c r="N18" s="99"/>
      <c r="O18" s="99"/>
      <c r="P18" s="99"/>
      <c r="Q18" s="99"/>
      <c r="R18" s="99"/>
      <c r="S18" s="99"/>
      <c r="T18" s="99"/>
      <c r="U18" s="99"/>
      <c r="V18" s="99"/>
      <c r="W18" s="99"/>
      <c r="X18" s="99"/>
      <c r="Y18" s="99"/>
      <c r="Z18" s="99"/>
      <c r="AA18" s="99"/>
      <c r="AB18" s="99"/>
    </row>
    <row r="19" spans="4:28" x14ac:dyDescent="0.3">
      <c r="D19" s="13" t="s">
        <v>459</v>
      </c>
      <c r="E19" s="159" t="str">
        <f>IF(E17="yes",2+(PreemptionForm!E48/20),"N/A")</f>
        <v>N/A</v>
      </c>
      <c r="G19" s="202" t="s">
        <v>432</v>
      </c>
      <c r="H19" s="330"/>
      <c r="I19" s="330"/>
      <c r="J19" s="330"/>
      <c r="K19" s="330"/>
      <c r="L19" s="330"/>
      <c r="M19" s="330"/>
      <c r="N19" s="330"/>
      <c r="O19" s="330"/>
      <c r="P19" s="330"/>
      <c r="Q19" s="330"/>
      <c r="R19" s="330"/>
      <c r="S19" s="330"/>
      <c r="T19" s="330"/>
      <c r="U19" s="330"/>
      <c r="V19" s="330"/>
      <c r="W19" s="330"/>
      <c r="X19" s="330"/>
      <c r="Y19" s="330"/>
      <c r="Z19" s="330"/>
      <c r="AA19" s="330"/>
      <c r="AB19" s="330"/>
    </row>
    <row r="20" spans="4:28" ht="9.9" customHeight="1" x14ac:dyDescent="0.3">
      <c r="G20" s="99"/>
      <c r="H20" s="99"/>
      <c r="I20" s="99"/>
      <c r="J20" s="99"/>
      <c r="K20" s="99"/>
      <c r="L20" s="99"/>
      <c r="M20" s="99"/>
      <c r="N20" s="99"/>
      <c r="O20" s="99"/>
      <c r="P20" s="99"/>
      <c r="Q20" s="99"/>
      <c r="R20" s="99"/>
      <c r="S20" s="99"/>
      <c r="T20" s="99"/>
      <c r="U20" s="99"/>
      <c r="V20" s="99"/>
      <c r="W20" s="99"/>
      <c r="X20" s="99"/>
      <c r="Y20" s="99"/>
      <c r="Z20" s="99"/>
      <c r="AA20" s="99"/>
      <c r="AB20" s="99"/>
    </row>
    <row r="21" spans="4:28" x14ac:dyDescent="0.3">
      <c r="D21" s="13" t="s">
        <v>460</v>
      </c>
      <c r="E21" s="159" t="str">
        <f>IF(E17="yes",'Calculation Summary'!C194,"N/A")</f>
        <v>N/A</v>
      </c>
      <c r="G21" s="318" t="s">
        <v>205</v>
      </c>
      <c r="H21" s="318"/>
      <c r="I21" s="318"/>
      <c r="J21" s="318"/>
      <c r="K21" s="318"/>
      <c r="L21" s="318"/>
      <c r="M21" s="318"/>
      <c r="N21" s="318"/>
      <c r="O21" s="318"/>
      <c r="P21" s="318"/>
      <c r="Q21" s="318"/>
      <c r="R21" s="318"/>
      <c r="S21" s="292"/>
      <c r="T21" s="292"/>
      <c r="U21" s="292"/>
      <c r="V21" s="292"/>
      <c r="W21" s="292"/>
      <c r="X21" s="292"/>
      <c r="Y21" s="292"/>
      <c r="Z21" s="292"/>
      <c r="AA21" s="292"/>
      <c r="AB21" s="292"/>
    </row>
    <row r="22" spans="4:28" ht="9.9" customHeight="1" x14ac:dyDescent="0.3">
      <c r="G22" s="99"/>
      <c r="H22" s="99"/>
      <c r="I22" s="99"/>
      <c r="J22" s="99"/>
      <c r="K22" s="99"/>
      <c r="L22" s="99"/>
      <c r="M22" s="99"/>
      <c r="N22" s="99"/>
      <c r="O22" s="99"/>
      <c r="P22" s="99"/>
      <c r="Q22" s="99"/>
      <c r="R22" s="99"/>
      <c r="S22" s="99"/>
      <c r="T22" s="99"/>
      <c r="U22" s="99"/>
      <c r="V22" s="99"/>
      <c r="W22" s="99"/>
      <c r="X22" s="99"/>
      <c r="Y22" s="99"/>
      <c r="Z22" s="99"/>
      <c r="AA22" s="99"/>
      <c r="AB22" s="99"/>
    </row>
    <row r="23" spans="4:28" x14ac:dyDescent="0.3">
      <c r="D23" s="13" t="s">
        <v>462</v>
      </c>
      <c r="E23" s="159" t="str">
        <f>IF(E17="yes",ROUNDUP(PreemptionForm!F107+E19+E21,0),"N/A")</f>
        <v>N/A</v>
      </c>
      <c r="G23" s="293" t="s">
        <v>461</v>
      </c>
      <c r="H23" s="293"/>
      <c r="I23" s="293"/>
      <c r="J23" s="293"/>
      <c r="K23" s="330"/>
      <c r="L23" s="292"/>
      <c r="M23" s="292"/>
      <c r="N23" s="292"/>
      <c r="O23" s="292"/>
      <c r="P23" s="292"/>
      <c r="Q23" s="292"/>
      <c r="R23" s="292"/>
      <c r="S23" s="292"/>
      <c r="T23" s="292"/>
      <c r="U23" s="292"/>
      <c r="V23" s="292"/>
      <c r="W23" s="292"/>
      <c r="X23" s="292"/>
      <c r="Y23" s="292"/>
      <c r="Z23" s="292"/>
      <c r="AA23" s="292"/>
      <c r="AB23" s="292"/>
    </row>
    <row r="24" spans="4:28" ht="9.9" customHeight="1" x14ac:dyDescent="0.3">
      <c r="G24" s="99"/>
      <c r="H24" s="99"/>
      <c r="I24" s="99"/>
      <c r="J24" s="99"/>
      <c r="K24" s="99"/>
      <c r="L24" s="99"/>
      <c r="M24" s="99"/>
      <c r="N24" s="99"/>
      <c r="O24" s="99"/>
      <c r="P24" s="99"/>
      <c r="Q24" s="99"/>
      <c r="R24" s="99"/>
      <c r="S24" s="99"/>
      <c r="T24" s="99"/>
      <c r="U24" s="99"/>
      <c r="V24" s="99"/>
      <c r="W24" s="99"/>
      <c r="X24" s="99"/>
      <c r="Y24" s="99"/>
      <c r="Z24" s="99"/>
      <c r="AA24" s="99"/>
      <c r="AB24" s="99"/>
    </row>
    <row r="25" spans="4:28" x14ac:dyDescent="0.3">
      <c r="D25" s="13" t="s">
        <v>463</v>
      </c>
      <c r="E25" s="40">
        <f>PreemptionForm!F123</f>
        <v>0</v>
      </c>
      <c r="G25" s="191" t="s">
        <v>207</v>
      </c>
      <c r="H25" s="330"/>
      <c r="I25" s="292"/>
      <c r="J25" s="292"/>
      <c r="K25" s="292"/>
      <c r="L25" s="292"/>
      <c r="M25" s="292"/>
      <c r="N25" s="292"/>
      <c r="O25" s="292"/>
      <c r="P25" s="292"/>
      <c r="Q25" s="292"/>
      <c r="R25" s="292"/>
      <c r="S25" s="292"/>
      <c r="T25" s="292"/>
      <c r="U25" s="292"/>
      <c r="V25" s="292"/>
      <c r="W25" s="292"/>
      <c r="X25" s="292"/>
      <c r="Y25" s="292"/>
      <c r="Z25" s="292"/>
      <c r="AA25" s="292"/>
      <c r="AB25" s="292"/>
    </row>
    <row r="26" spans="4:28" ht="9.9" customHeight="1" x14ac:dyDescent="0.3">
      <c r="G26" s="99"/>
      <c r="H26" s="99"/>
      <c r="I26" s="99"/>
      <c r="J26" s="99"/>
      <c r="K26" s="99"/>
      <c r="L26" s="99"/>
      <c r="M26" s="99"/>
      <c r="N26" s="99"/>
      <c r="O26" s="99"/>
      <c r="P26" s="99"/>
      <c r="Q26" s="99"/>
      <c r="R26" s="99"/>
      <c r="S26" s="99"/>
      <c r="T26" s="99"/>
      <c r="U26" s="99"/>
      <c r="V26" s="99"/>
      <c r="W26" s="99"/>
      <c r="X26" s="99"/>
      <c r="Y26" s="99"/>
      <c r="Z26" s="99"/>
      <c r="AA26" s="99"/>
      <c r="AB26" s="99"/>
    </row>
    <row r="27" spans="4:28" x14ac:dyDescent="0.3">
      <c r="D27" s="13" t="s">
        <v>464</v>
      </c>
      <c r="E27" s="40">
        <f>PreemptionForm!F125</f>
        <v>12</v>
      </c>
      <c r="G27" s="191" t="s">
        <v>433</v>
      </c>
      <c r="H27" s="330"/>
      <c r="I27" s="292"/>
      <c r="J27" s="292"/>
      <c r="K27" s="292"/>
      <c r="L27" s="292"/>
      <c r="M27" s="292"/>
      <c r="N27" s="292"/>
      <c r="O27" s="292"/>
      <c r="P27" s="292"/>
      <c r="Q27" s="292"/>
      <c r="R27" s="292"/>
      <c r="S27" s="292"/>
      <c r="T27" s="292"/>
      <c r="U27" s="292"/>
      <c r="V27" s="292"/>
      <c r="W27" s="292"/>
      <c r="X27" s="292"/>
      <c r="Y27" s="292"/>
      <c r="Z27" s="292"/>
      <c r="AA27" s="292"/>
      <c r="AB27" s="292"/>
    </row>
    <row r="28" spans="4:28" ht="9.9" customHeight="1" x14ac:dyDescent="0.3">
      <c r="G28" s="99"/>
      <c r="H28" s="99"/>
      <c r="I28" s="99"/>
      <c r="J28" s="99"/>
      <c r="K28" s="99"/>
      <c r="L28" s="99"/>
      <c r="M28" s="99"/>
      <c r="N28" s="99"/>
      <c r="O28" s="99"/>
      <c r="P28" s="99"/>
      <c r="Q28" s="99"/>
      <c r="R28" s="99"/>
      <c r="S28" s="99"/>
      <c r="T28" s="99"/>
      <c r="U28" s="99"/>
      <c r="V28" s="99"/>
      <c r="W28" s="99"/>
      <c r="X28" s="99"/>
      <c r="Y28" s="99"/>
      <c r="Z28" s="99"/>
      <c r="AA28" s="99"/>
      <c r="AB28" s="99"/>
    </row>
    <row r="29" spans="4:28" ht="15" customHeight="1" x14ac:dyDescent="0.3">
      <c r="D29" s="13" t="s">
        <v>465</v>
      </c>
      <c r="E29" s="15"/>
      <c r="G29" s="293" t="s">
        <v>206</v>
      </c>
      <c r="H29" s="293"/>
      <c r="I29" s="293"/>
      <c r="J29" s="293"/>
      <c r="K29" s="293"/>
      <c r="L29" s="293"/>
      <c r="M29" s="292"/>
      <c r="N29" s="292"/>
      <c r="O29" s="292"/>
      <c r="P29" s="292"/>
      <c r="Q29" s="292"/>
      <c r="R29" s="292"/>
      <c r="S29" s="292"/>
      <c r="T29" s="292"/>
      <c r="U29" s="292"/>
      <c r="V29" s="292"/>
      <c r="W29" s="292"/>
      <c r="X29" s="292"/>
      <c r="Y29" s="292"/>
      <c r="Z29" s="292"/>
      <c r="AA29" s="292"/>
      <c r="AB29" s="292"/>
    </row>
    <row r="30" spans="4:28" ht="9.9" customHeight="1" x14ac:dyDescent="0.3">
      <c r="G30" s="99"/>
      <c r="H30" s="99"/>
      <c r="I30" s="99"/>
      <c r="J30" s="99"/>
      <c r="K30" s="99"/>
      <c r="L30" s="99"/>
      <c r="M30" s="99"/>
      <c r="N30" s="99"/>
      <c r="O30" s="99"/>
      <c r="P30" s="99"/>
      <c r="Q30" s="99"/>
      <c r="R30" s="99"/>
      <c r="S30" s="99"/>
      <c r="T30" s="99"/>
      <c r="U30" s="99"/>
      <c r="V30" s="99"/>
      <c r="W30" s="99"/>
      <c r="X30" s="99"/>
      <c r="Y30" s="99"/>
      <c r="Z30" s="99"/>
      <c r="AA30" s="99"/>
      <c r="AB30" s="99"/>
    </row>
    <row r="31" spans="4:28" x14ac:dyDescent="0.3">
      <c r="D31" s="13" t="s">
        <v>466</v>
      </c>
      <c r="E31" s="111" t="str">
        <f>IF(E17="yes",'Calculation Summary'!C215,"N/A")</f>
        <v>N/A</v>
      </c>
      <c r="G31" s="293" t="s">
        <v>205</v>
      </c>
      <c r="H31" s="293"/>
      <c r="I31" s="293"/>
      <c r="J31" s="293"/>
      <c r="K31" s="293"/>
      <c r="L31" s="293"/>
      <c r="M31" s="293"/>
      <c r="N31" s="293"/>
      <c r="O31" s="293"/>
      <c r="P31" s="293"/>
      <c r="Q31" s="293"/>
      <c r="R31" s="293"/>
      <c r="S31" s="292"/>
      <c r="T31" s="292"/>
      <c r="U31" s="292"/>
      <c r="V31" s="292"/>
      <c r="W31" s="292"/>
      <c r="X31" s="292"/>
      <c r="Y31" s="292"/>
      <c r="Z31" s="292"/>
      <c r="AA31" s="292"/>
      <c r="AB31" s="292"/>
    </row>
    <row r="32" spans="4:28" ht="9.9" customHeight="1" x14ac:dyDescent="0.3">
      <c r="G32" s="99"/>
      <c r="H32" s="99"/>
      <c r="I32" s="99"/>
      <c r="J32" s="99"/>
      <c r="K32" s="99"/>
      <c r="L32" s="99"/>
      <c r="M32" s="99"/>
      <c r="N32" s="99"/>
      <c r="O32" s="99"/>
      <c r="P32" s="99"/>
      <c r="Q32" s="99"/>
      <c r="R32" s="99"/>
      <c r="S32" s="99"/>
      <c r="T32" s="99"/>
      <c r="U32" s="99"/>
      <c r="V32" s="99"/>
      <c r="W32" s="99"/>
      <c r="X32" s="99"/>
      <c r="Y32" s="99"/>
      <c r="Z32" s="99"/>
      <c r="AA32" s="99"/>
      <c r="AB32" s="99"/>
    </row>
    <row r="33" spans="1:28" x14ac:dyDescent="0.3">
      <c r="D33" s="13" t="s">
        <v>467</v>
      </c>
      <c r="E33" s="159" t="str">
        <f>IF(E17="yes",ROUNDDOWN(E31*E27,0),"N/A")</f>
        <v>N/A</v>
      </c>
      <c r="G33" s="293" t="s">
        <v>473</v>
      </c>
      <c r="H33" s="293"/>
      <c r="I33" s="293"/>
      <c r="J33" s="293"/>
      <c r="K33" s="292"/>
      <c r="L33" s="292"/>
      <c r="M33" s="292"/>
      <c r="N33" s="292"/>
      <c r="O33" s="292"/>
      <c r="P33" s="292"/>
      <c r="Q33" s="292"/>
      <c r="R33" s="292"/>
      <c r="S33" s="292"/>
      <c r="T33" s="292"/>
      <c r="U33" s="292"/>
      <c r="V33" s="292"/>
      <c r="W33" s="292"/>
      <c r="X33" s="292"/>
      <c r="Y33" s="292"/>
      <c r="Z33" s="292"/>
      <c r="AA33" s="292"/>
      <c r="AB33" s="292"/>
    </row>
    <row r="34" spans="1:28" ht="9.9" customHeight="1" x14ac:dyDescent="0.3">
      <c r="G34" s="99"/>
      <c r="H34" s="99"/>
      <c r="I34" s="99"/>
      <c r="J34" s="99"/>
      <c r="K34" s="99"/>
      <c r="L34" s="99"/>
      <c r="M34" s="99"/>
      <c r="N34" s="99"/>
      <c r="O34" s="99"/>
      <c r="P34" s="99"/>
      <c r="Q34" s="99"/>
      <c r="R34" s="99"/>
      <c r="S34" s="99"/>
      <c r="T34" s="99"/>
      <c r="U34" s="99"/>
      <c r="V34" s="99"/>
      <c r="W34" s="99"/>
      <c r="X34" s="99"/>
      <c r="Y34" s="99"/>
      <c r="Z34" s="99"/>
      <c r="AA34" s="99"/>
      <c r="AB34" s="99"/>
    </row>
    <row r="35" spans="1:28" x14ac:dyDescent="0.3">
      <c r="D35" s="13" t="s">
        <v>468</v>
      </c>
      <c r="E35" s="159" t="str">
        <f>IF(E17="yes",E25+E33,"N/A")</f>
        <v>N/A</v>
      </c>
      <c r="G35" s="293" t="s">
        <v>472</v>
      </c>
      <c r="H35" s="293"/>
      <c r="I35" s="293"/>
      <c r="J35" s="293"/>
      <c r="K35" s="330"/>
      <c r="L35" s="292"/>
      <c r="M35" s="292"/>
      <c r="N35" s="292"/>
      <c r="O35" s="292"/>
      <c r="P35" s="292"/>
      <c r="Q35" s="292"/>
      <c r="R35" s="292"/>
      <c r="S35" s="292"/>
      <c r="T35" s="292"/>
      <c r="U35" s="292"/>
      <c r="V35" s="292"/>
      <c r="W35" s="292"/>
      <c r="X35" s="292"/>
      <c r="Y35" s="292"/>
      <c r="Z35" s="292"/>
      <c r="AA35" s="292"/>
      <c r="AB35" s="292"/>
    </row>
    <row r="36" spans="1:28" ht="9.9" customHeight="1" x14ac:dyDescent="0.3">
      <c r="G36" s="99"/>
      <c r="H36" s="99"/>
      <c r="I36" s="99"/>
      <c r="J36" s="99"/>
      <c r="K36" s="99"/>
      <c r="L36" s="99"/>
      <c r="M36" s="99"/>
      <c r="N36" s="99"/>
      <c r="O36" s="99"/>
      <c r="P36" s="99"/>
      <c r="Q36" s="99"/>
      <c r="R36" s="99"/>
      <c r="S36" s="99"/>
      <c r="T36" s="99"/>
      <c r="U36" s="99"/>
      <c r="V36" s="99"/>
      <c r="W36" s="99"/>
      <c r="X36" s="99"/>
      <c r="Y36" s="99"/>
      <c r="Z36" s="99"/>
      <c r="AA36" s="99"/>
      <c r="AB36" s="99"/>
    </row>
    <row r="37" spans="1:28" x14ac:dyDescent="0.3">
      <c r="D37" s="13" t="s">
        <v>469</v>
      </c>
      <c r="E37" s="159" t="str">
        <f>IF(E17="yes",ROUNDUP(E23-E35,0),"N/A")</f>
        <v>N/A</v>
      </c>
      <c r="G37" s="293" t="s">
        <v>471</v>
      </c>
      <c r="H37" s="293"/>
      <c r="I37" s="293"/>
      <c r="J37" s="293"/>
      <c r="K37" s="293"/>
      <c r="L37" s="293"/>
      <c r="M37" s="292"/>
      <c r="N37" s="292"/>
      <c r="O37" s="292"/>
      <c r="P37" s="292"/>
      <c r="Q37" s="292"/>
      <c r="R37" s="292"/>
      <c r="S37" s="292"/>
      <c r="T37" s="292"/>
      <c r="U37" s="292"/>
      <c r="V37" s="292"/>
      <c r="W37" s="292"/>
      <c r="X37" s="292"/>
      <c r="Y37" s="292"/>
      <c r="Z37" s="292"/>
      <c r="AA37" s="292"/>
      <c r="AB37" s="292"/>
    </row>
    <row r="38" spans="1:28" x14ac:dyDescent="0.3">
      <c r="D38" s="13"/>
      <c r="E38" s="186"/>
      <c r="G38" s="252"/>
      <c r="H38" s="252"/>
      <c r="I38" s="252"/>
      <c r="J38" s="252"/>
      <c r="K38" s="252"/>
      <c r="L38" s="99"/>
      <c r="M38" s="99"/>
      <c r="N38" s="99"/>
      <c r="O38" s="99"/>
      <c r="P38" s="99"/>
      <c r="Q38" s="99"/>
      <c r="R38" s="99"/>
      <c r="S38" s="99"/>
      <c r="T38" s="99"/>
      <c r="U38" s="99"/>
      <c r="V38" s="99"/>
      <c r="W38" s="99"/>
      <c r="X38" s="99"/>
      <c r="Y38" s="99"/>
      <c r="Z38" s="99"/>
      <c r="AA38" s="99"/>
      <c r="AB38" s="99"/>
    </row>
    <row r="39" spans="1:28" x14ac:dyDescent="0.3">
      <c r="D39" s="13" t="s">
        <v>470</v>
      </c>
      <c r="E39" s="159">
        <f>IF(E17="yes",E37-(IF(PreemptionForm!D66="yes",ROUNDUP(PreemptionForm!D65,0), IF(PreemptionForm!E66="yes",ROUNDUP(PreemptionForm!E65,0), IF(PreemptionForm!F66="yes",ROUNDUP(PreemptionForm!F65,0), IF(PreemptionForm!H66="yes",ROUNDUP(PreemptionForm!H65,0)))))+PreemptionForm!F107+PreemptionForm!F113-PreemptionForm!F131),0)</f>
        <v>0</v>
      </c>
      <c r="G39" s="293" t="s">
        <v>205</v>
      </c>
      <c r="H39" s="293"/>
      <c r="I39" s="293"/>
      <c r="J39" s="293"/>
      <c r="K39" s="293"/>
      <c r="L39" s="293"/>
      <c r="M39" s="293"/>
      <c r="N39" s="293"/>
      <c r="O39" s="293"/>
      <c r="P39" s="293"/>
      <c r="Q39" s="293"/>
      <c r="R39" s="293"/>
      <c r="S39" s="292"/>
      <c r="T39" s="292"/>
      <c r="U39" s="292"/>
      <c r="V39" s="292"/>
      <c r="W39" s="292"/>
      <c r="X39" s="292"/>
      <c r="Y39" s="292"/>
      <c r="Z39" s="292"/>
      <c r="AA39" s="292"/>
      <c r="AB39" s="292"/>
    </row>
    <row r="40" spans="1:28" x14ac:dyDescent="0.3">
      <c r="D40" s="13" t="s">
        <v>257</v>
      </c>
      <c r="E40" s="186"/>
      <c r="G40" s="252"/>
      <c r="H40" s="252"/>
      <c r="I40" s="252"/>
      <c r="J40" s="252"/>
      <c r="K40" s="252"/>
      <c r="L40" s="99"/>
      <c r="M40" s="99"/>
      <c r="N40" s="99"/>
      <c r="O40" s="99"/>
      <c r="P40" s="99"/>
      <c r="Q40" s="99"/>
      <c r="R40" s="99"/>
      <c r="S40" s="99"/>
      <c r="T40" s="99"/>
      <c r="U40" s="99"/>
      <c r="V40" s="99"/>
      <c r="W40" s="99"/>
      <c r="X40" s="99"/>
      <c r="Y40" s="99"/>
      <c r="Z40" s="99"/>
      <c r="AA40" s="99"/>
      <c r="AB40" s="99"/>
    </row>
    <row r="41" spans="1:28" ht="39.9" customHeight="1" x14ac:dyDescent="0.3">
      <c r="D41" s="13"/>
      <c r="E41" s="186"/>
      <c r="G41" s="99"/>
      <c r="H41" s="99"/>
      <c r="I41" s="99"/>
      <c r="J41" s="99"/>
      <c r="K41" s="99"/>
      <c r="L41" s="99"/>
      <c r="M41" s="99"/>
      <c r="N41" s="99"/>
      <c r="O41" s="99"/>
      <c r="P41" s="99"/>
      <c r="Q41" s="99"/>
      <c r="R41" s="99"/>
      <c r="S41" s="99"/>
      <c r="T41" s="99"/>
      <c r="U41" s="99"/>
      <c r="V41" s="99"/>
      <c r="W41" s="99"/>
      <c r="X41" s="99"/>
      <c r="Y41" s="99"/>
      <c r="Z41" s="99"/>
      <c r="AA41" s="99"/>
      <c r="AB41" s="99"/>
    </row>
    <row r="42" spans="1:28" ht="30" customHeight="1" x14ac:dyDescent="0.3">
      <c r="A42" s="305" t="s">
        <v>180</v>
      </c>
      <c r="B42" s="305"/>
      <c r="C42" s="305"/>
      <c r="D42" s="305"/>
      <c r="E42" s="305"/>
      <c r="F42" s="305"/>
      <c r="G42" s="305"/>
      <c r="AB42" s="1" t="s">
        <v>181</v>
      </c>
    </row>
    <row r="43" spans="1:28" ht="7.35" customHeight="1" x14ac:dyDescent="0.3"/>
    <row r="44" spans="1:28" x14ac:dyDescent="0.3">
      <c r="D44" s="14"/>
      <c r="E44" s="28"/>
      <c r="G44" s="27"/>
      <c r="H44" s="27"/>
      <c r="I44" s="27"/>
      <c r="J44" s="27"/>
      <c r="K44" s="27"/>
      <c r="L44" s="27"/>
      <c r="M44" s="27"/>
      <c r="N44" s="27"/>
      <c r="O44" s="27"/>
      <c r="P44" s="27"/>
      <c r="Q44" s="27"/>
      <c r="R44" s="27"/>
      <c r="S44" s="27"/>
      <c r="T44" s="27"/>
      <c r="U44" s="27"/>
      <c r="V44" s="27"/>
      <c r="W44" s="27"/>
      <c r="X44" s="27"/>
      <c r="Y44" s="27"/>
      <c r="Z44" s="27"/>
      <c r="AA44" s="27"/>
      <c r="AB44" s="27"/>
    </row>
    <row r="45" spans="1:28" x14ac:dyDescent="0.3">
      <c r="D45" s="14"/>
      <c r="E45" s="28"/>
      <c r="G45" s="27"/>
      <c r="H45" s="27"/>
      <c r="I45" s="27"/>
      <c r="J45" s="27"/>
      <c r="K45" s="27"/>
      <c r="L45" s="27"/>
      <c r="M45" s="27"/>
      <c r="N45" s="27"/>
      <c r="O45" s="27"/>
      <c r="P45" s="27"/>
      <c r="Q45" s="27"/>
      <c r="R45" s="27"/>
      <c r="S45" s="27"/>
      <c r="T45" s="27"/>
      <c r="U45" s="27"/>
      <c r="V45" s="27"/>
      <c r="W45" s="27"/>
      <c r="X45" s="27"/>
      <c r="Y45" s="27"/>
      <c r="Z45" s="27"/>
      <c r="AA45" s="27"/>
      <c r="AB45" s="27"/>
    </row>
    <row r="46" spans="1:28" x14ac:dyDescent="0.3">
      <c r="D46" s="14"/>
      <c r="E46" s="28"/>
      <c r="G46" s="27"/>
      <c r="H46" s="27"/>
      <c r="I46" s="27"/>
      <c r="J46" s="27"/>
      <c r="K46" s="27"/>
      <c r="L46" s="27"/>
      <c r="M46" s="27"/>
      <c r="N46" s="27"/>
      <c r="O46" s="27"/>
      <c r="P46" s="27"/>
      <c r="Q46" s="27"/>
      <c r="R46" s="27"/>
      <c r="S46" s="27"/>
      <c r="T46" s="27"/>
      <c r="U46" s="27"/>
      <c r="V46" s="27"/>
      <c r="W46" s="27"/>
      <c r="X46" s="27"/>
      <c r="Y46" s="27"/>
      <c r="Z46" s="27"/>
      <c r="AA46" s="27"/>
      <c r="AB46" s="27"/>
    </row>
    <row r="47" spans="1:28" x14ac:dyDescent="0.3">
      <c r="D47" s="14"/>
      <c r="E47" s="28"/>
      <c r="G47" s="27"/>
      <c r="H47" s="27"/>
      <c r="I47" s="27"/>
      <c r="J47" s="27"/>
      <c r="K47" s="27"/>
      <c r="L47" s="27"/>
      <c r="M47" s="27"/>
      <c r="N47" s="27"/>
      <c r="O47" s="27"/>
      <c r="P47" s="27"/>
      <c r="Q47" s="27"/>
      <c r="R47" s="27"/>
      <c r="S47" s="27"/>
      <c r="T47" s="27"/>
      <c r="U47" s="27"/>
      <c r="V47" s="27"/>
      <c r="W47" s="27"/>
      <c r="X47" s="27"/>
      <c r="Y47" s="27"/>
      <c r="Z47" s="27"/>
      <c r="AA47" s="27"/>
      <c r="AB47" s="27"/>
    </row>
    <row r="48" spans="1:28" x14ac:dyDescent="0.3">
      <c r="D48" s="14"/>
      <c r="E48" s="28"/>
      <c r="G48" s="27"/>
      <c r="H48" s="27"/>
      <c r="I48" s="27"/>
      <c r="J48" s="27"/>
      <c r="K48" s="27"/>
      <c r="L48" s="27"/>
      <c r="M48" s="27"/>
      <c r="N48" s="27"/>
      <c r="O48" s="27"/>
      <c r="P48" s="27"/>
      <c r="Q48" s="27"/>
      <c r="R48" s="27"/>
      <c r="S48" s="27"/>
      <c r="T48" s="27"/>
      <c r="U48" s="27"/>
      <c r="V48" s="27"/>
      <c r="W48" s="27"/>
      <c r="X48" s="27"/>
      <c r="Y48" s="27"/>
      <c r="Z48" s="27"/>
      <c r="AA48" s="27"/>
      <c r="AB48" s="27"/>
    </row>
    <row r="49" spans="4:28" x14ac:dyDescent="0.3">
      <c r="D49" s="14"/>
      <c r="E49" s="28"/>
      <c r="G49" s="27"/>
      <c r="H49" s="27"/>
      <c r="I49" s="27"/>
      <c r="J49" s="27"/>
      <c r="K49" s="27"/>
      <c r="L49" s="27"/>
      <c r="M49" s="27"/>
      <c r="N49" s="27"/>
      <c r="O49" s="27"/>
      <c r="P49" s="27"/>
      <c r="Q49" s="27"/>
      <c r="R49" s="27"/>
      <c r="S49" s="27"/>
      <c r="T49" s="27"/>
      <c r="U49" s="27"/>
      <c r="V49" s="27"/>
      <c r="W49" s="27"/>
      <c r="X49" s="27"/>
      <c r="Y49" s="27"/>
      <c r="Z49" s="27"/>
      <c r="AA49" s="27"/>
      <c r="AB49" s="27"/>
    </row>
    <row r="50" spans="4:28" x14ac:dyDescent="0.3">
      <c r="D50" s="14"/>
      <c r="E50" s="28"/>
      <c r="G50" s="27"/>
      <c r="H50" s="27"/>
      <c r="I50" s="27"/>
      <c r="J50" s="27"/>
      <c r="K50" s="27"/>
      <c r="L50" s="27"/>
      <c r="M50" s="27"/>
      <c r="N50" s="27"/>
      <c r="O50" s="27"/>
      <c r="P50" s="27"/>
      <c r="Q50" s="27"/>
      <c r="R50" s="27"/>
      <c r="S50" s="27"/>
      <c r="T50" s="27"/>
      <c r="U50" s="27"/>
      <c r="V50" s="27"/>
      <c r="W50" s="27"/>
      <c r="X50" s="27"/>
      <c r="Y50" s="27"/>
      <c r="Z50" s="27"/>
      <c r="AA50" s="27"/>
      <c r="AB50" s="27"/>
    </row>
    <row r="51" spans="4:28" x14ac:dyDescent="0.3">
      <c r="D51" s="14"/>
      <c r="E51" s="28"/>
      <c r="G51" s="27"/>
      <c r="H51" s="27"/>
      <c r="I51" s="27"/>
      <c r="J51" s="27"/>
      <c r="K51" s="27"/>
      <c r="L51" s="27"/>
      <c r="M51" s="27"/>
      <c r="N51" s="27"/>
      <c r="O51" s="27"/>
      <c r="P51" s="27"/>
      <c r="Q51" s="27"/>
      <c r="R51" s="27"/>
      <c r="S51" s="27"/>
      <c r="T51" s="27"/>
      <c r="U51" s="27"/>
      <c r="V51" s="27"/>
      <c r="W51" s="27"/>
      <c r="X51" s="27"/>
      <c r="Y51" s="27"/>
      <c r="Z51" s="27"/>
      <c r="AA51" s="27"/>
      <c r="AB51" s="27"/>
    </row>
    <row r="52" spans="4:28" x14ac:dyDescent="0.3">
      <c r="D52" s="14"/>
      <c r="E52" s="28"/>
      <c r="G52" s="27"/>
      <c r="H52" s="27"/>
      <c r="I52" s="27"/>
      <c r="J52" s="27"/>
      <c r="K52" s="27"/>
      <c r="L52" s="27"/>
      <c r="M52" s="27"/>
      <c r="N52" s="27"/>
      <c r="O52" s="27"/>
      <c r="P52" s="27"/>
      <c r="Q52" s="27"/>
      <c r="R52" s="27"/>
      <c r="S52" s="27"/>
      <c r="T52" s="27"/>
      <c r="U52" s="27"/>
      <c r="V52" s="27"/>
      <c r="W52" s="27"/>
      <c r="X52" s="27"/>
      <c r="Y52" s="27"/>
      <c r="Z52" s="27"/>
      <c r="AA52" s="27"/>
      <c r="AB52" s="27"/>
    </row>
    <row r="53" spans="4:28" x14ac:dyDescent="0.3">
      <c r="D53" s="14"/>
      <c r="E53" s="28"/>
      <c r="G53" s="27"/>
      <c r="H53" s="27"/>
      <c r="I53" s="27"/>
      <c r="J53" s="27"/>
      <c r="K53" s="27"/>
      <c r="L53" s="27"/>
      <c r="M53" s="27"/>
      <c r="N53" s="27"/>
      <c r="O53" s="27"/>
      <c r="P53" s="27"/>
      <c r="Q53" s="27"/>
      <c r="R53" s="27"/>
      <c r="S53" s="27"/>
      <c r="T53" s="27"/>
      <c r="U53" s="27"/>
      <c r="V53" s="27"/>
      <c r="W53" s="27"/>
      <c r="X53" s="27"/>
      <c r="Y53" s="27"/>
      <c r="Z53" s="27"/>
      <c r="AA53" s="27"/>
      <c r="AB53" s="27"/>
    </row>
    <row r="54" spans="4:28" x14ac:dyDescent="0.3">
      <c r="D54" s="14"/>
      <c r="E54" s="28"/>
      <c r="G54" s="27"/>
      <c r="H54" s="27"/>
      <c r="I54" s="27"/>
      <c r="J54" s="27"/>
      <c r="K54" s="27"/>
      <c r="L54" s="27"/>
      <c r="M54" s="27"/>
      <c r="N54" s="27"/>
      <c r="O54" s="27"/>
      <c r="P54" s="27"/>
      <c r="Q54" s="27"/>
      <c r="R54" s="27"/>
      <c r="S54" s="27"/>
      <c r="T54" s="27"/>
      <c r="U54" s="27"/>
      <c r="V54" s="27"/>
      <c r="W54" s="27"/>
      <c r="X54" s="27"/>
      <c r="Y54" s="27"/>
      <c r="Z54" s="27"/>
      <c r="AA54" s="27"/>
      <c r="AB54" s="27"/>
    </row>
    <row r="55" spans="4:28" x14ac:dyDescent="0.3">
      <c r="D55" s="14"/>
      <c r="E55" s="28"/>
      <c r="G55" s="27"/>
      <c r="H55" s="27"/>
      <c r="I55" s="27"/>
      <c r="J55" s="27"/>
      <c r="K55" s="27"/>
      <c r="L55" s="27"/>
      <c r="M55" s="27"/>
      <c r="N55" s="27"/>
      <c r="O55" s="27"/>
      <c r="P55" s="27"/>
      <c r="Q55" s="27"/>
      <c r="R55" s="27"/>
      <c r="S55" s="27"/>
      <c r="T55" s="27"/>
      <c r="U55" s="27"/>
      <c r="V55" s="27"/>
      <c r="W55" s="27"/>
      <c r="X55" s="27"/>
      <c r="Y55" s="27"/>
      <c r="Z55" s="27"/>
      <c r="AA55" s="27"/>
      <c r="AB55" s="27"/>
    </row>
    <row r="56" spans="4:28" x14ac:dyDescent="0.3">
      <c r="D56" s="14"/>
      <c r="E56" s="28"/>
      <c r="G56" s="27"/>
      <c r="H56" s="27"/>
      <c r="I56" s="27"/>
      <c r="J56" s="27"/>
      <c r="K56" s="27"/>
      <c r="L56" s="27"/>
      <c r="M56" s="27"/>
      <c r="N56" s="27"/>
      <c r="O56" s="27"/>
      <c r="P56" s="27"/>
      <c r="Q56" s="27"/>
      <c r="R56" s="27"/>
      <c r="S56" s="27"/>
      <c r="T56" s="27"/>
      <c r="U56" s="27"/>
      <c r="V56" s="27"/>
      <c r="W56" s="27"/>
      <c r="X56" s="27"/>
      <c r="Y56" s="27"/>
      <c r="Z56" s="27"/>
      <c r="AA56" s="27"/>
      <c r="AB56" s="27"/>
    </row>
    <row r="57" spans="4:28" x14ac:dyDescent="0.3">
      <c r="D57" s="14"/>
      <c r="E57" s="28"/>
      <c r="G57" s="27"/>
      <c r="H57" s="27"/>
      <c r="I57" s="27"/>
      <c r="J57" s="27"/>
      <c r="K57" s="27"/>
      <c r="L57" s="27"/>
      <c r="M57" s="27"/>
      <c r="N57" s="27"/>
      <c r="O57" s="27"/>
      <c r="P57" s="27"/>
      <c r="Q57" s="27"/>
      <c r="R57" s="27"/>
      <c r="S57" s="27"/>
      <c r="T57" s="27"/>
      <c r="U57" s="27"/>
      <c r="V57" s="27"/>
      <c r="W57" s="27"/>
      <c r="X57" s="27"/>
      <c r="Y57" s="27"/>
      <c r="Z57" s="27"/>
      <c r="AA57" s="27"/>
      <c r="AB57" s="27"/>
    </row>
    <row r="58" spans="4:28" x14ac:dyDescent="0.3">
      <c r="D58" s="14"/>
      <c r="E58" s="28"/>
      <c r="G58" s="27"/>
      <c r="H58" s="27"/>
      <c r="I58" s="27"/>
      <c r="J58" s="27"/>
      <c r="K58" s="27"/>
      <c r="L58" s="27"/>
      <c r="M58" s="27"/>
      <c r="N58" s="27"/>
      <c r="O58" s="27"/>
      <c r="P58" s="27"/>
      <c r="Q58" s="27"/>
      <c r="R58" s="27"/>
      <c r="S58" s="27"/>
      <c r="T58" s="27"/>
      <c r="U58" s="27"/>
      <c r="V58" s="27"/>
      <c r="W58" s="27"/>
      <c r="X58" s="27"/>
      <c r="Y58" s="27"/>
      <c r="Z58" s="27"/>
      <c r="AA58" s="27"/>
      <c r="AB58" s="27"/>
    </row>
    <row r="59" spans="4:28" x14ac:dyDescent="0.3">
      <c r="D59" s="14"/>
      <c r="E59" s="28"/>
      <c r="G59" s="27"/>
      <c r="H59" s="27"/>
      <c r="I59" s="27"/>
      <c r="J59" s="27"/>
      <c r="K59" s="27"/>
      <c r="L59" s="27"/>
      <c r="M59" s="27"/>
      <c r="N59" s="27"/>
      <c r="O59" s="27"/>
      <c r="P59" s="27"/>
      <c r="Q59" s="27"/>
      <c r="R59" s="27"/>
      <c r="S59" s="27"/>
      <c r="T59" s="27"/>
      <c r="U59" s="27"/>
      <c r="V59" s="27"/>
      <c r="W59" s="27"/>
      <c r="X59" s="27"/>
      <c r="Y59" s="27"/>
      <c r="Z59" s="27"/>
      <c r="AA59" s="27"/>
      <c r="AB59" s="27"/>
    </row>
    <row r="60" spans="4:28" x14ac:dyDescent="0.3">
      <c r="D60" s="14"/>
      <c r="E60" s="28"/>
      <c r="G60" s="27"/>
      <c r="H60" s="27"/>
      <c r="I60" s="27"/>
      <c r="J60" s="27"/>
      <c r="K60" s="27"/>
      <c r="L60" s="27"/>
      <c r="M60" s="27"/>
      <c r="N60" s="27"/>
      <c r="O60" s="27"/>
      <c r="P60" s="27"/>
      <c r="Q60" s="27"/>
      <c r="R60" s="27"/>
      <c r="S60" s="27"/>
      <c r="T60" s="27"/>
      <c r="U60" s="27"/>
      <c r="V60" s="27"/>
      <c r="W60" s="27"/>
      <c r="X60" s="27"/>
      <c r="Y60" s="27"/>
      <c r="Z60" s="27"/>
      <c r="AA60" s="27"/>
      <c r="AB60" s="27"/>
    </row>
    <row r="61" spans="4:28" x14ac:dyDescent="0.3">
      <c r="D61" s="14"/>
      <c r="E61" s="28"/>
      <c r="G61" s="27"/>
      <c r="H61" s="27"/>
      <c r="I61" s="27"/>
      <c r="J61" s="27"/>
      <c r="K61" s="27"/>
      <c r="L61" s="27"/>
      <c r="M61" s="27"/>
      <c r="N61" s="27"/>
      <c r="O61" s="27"/>
      <c r="P61" s="27"/>
      <c r="Q61" s="27"/>
      <c r="R61" s="27"/>
      <c r="S61" s="27"/>
      <c r="T61" s="27"/>
      <c r="U61" s="27"/>
      <c r="V61" s="27"/>
      <c r="W61" s="27"/>
      <c r="X61" s="27"/>
      <c r="Y61" s="27"/>
      <c r="Z61" s="27"/>
      <c r="AA61" s="27"/>
      <c r="AB61" s="27"/>
    </row>
    <row r="62" spans="4:28" x14ac:dyDescent="0.3">
      <c r="D62" s="14"/>
      <c r="E62" s="28"/>
      <c r="G62" s="27"/>
      <c r="H62" s="27"/>
      <c r="I62" s="27"/>
      <c r="J62" s="27"/>
      <c r="K62" s="27"/>
      <c r="L62" s="27"/>
      <c r="M62" s="27"/>
      <c r="N62" s="27"/>
      <c r="O62" s="27"/>
      <c r="P62" s="27"/>
      <c r="Q62" s="27"/>
      <c r="R62" s="27"/>
      <c r="S62" s="27"/>
      <c r="T62" s="27"/>
      <c r="U62" s="27"/>
      <c r="V62" s="27"/>
      <c r="W62" s="27"/>
      <c r="X62" s="27"/>
      <c r="Y62" s="27"/>
      <c r="Z62" s="27"/>
      <c r="AA62" s="27"/>
      <c r="AB62" s="27"/>
    </row>
    <row r="63" spans="4:28" x14ac:dyDescent="0.3">
      <c r="D63" s="14"/>
      <c r="E63" s="28"/>
      <c r="G63" s="27"/>
      <c r="H63" s="27"/>
      <c r="I63" s="27"/>
      <c r="J63" s="27"/>
      <c r="K63" s="27"/>
      <c r="L63" s="27"/>
      <c r="M63" s="27"/>
      <c r="N63" s="27"/>
      <c r="O63" s="27"/>
      <c r="P63" s="27"/>
      <c r="Q63" s="27"/>
      <c r="R63" s="27"/>
      <c r="S63" s="27"/>
      <c r="T63" s="27"/>
      <c r="U63" s="27"/>
      <c r="V63" s="27"/>
      <c r="W63" s="27"/>
      <c r="X63" s="27"/>
      <c r="Y63" s="27"/>
      <c r="Z63" s="27"/>
      <c r="AA63" s="27"/>
      <c r="AB63" s="27"/>
    </row>
  </sheetData>
  <sheetProtection algorithmName="SHA-512" hashValue="tCd1Rzl4780WBS9gHv0J18PMXCCdwwC38C9duNM9S28mo2kXvNqGQ520FLclq6sQz3SNZG2fhtlrgp2GRUmUow==" saltValue="/EWQcn8jCWeg0bmlptLpYA==" spinCount="100000" sheet="1" objects="1" selectLockedCells="1"/>
  <dataConsolidate/>
  <mergeCells count="33">
    <mergeCell ref="A42:G42"/>
    <mergeCell ref="G37:L37"/>
    <mergeCell ref="M37:AB37"/>
    <mergeCell ref="G39:R39"/>
    <mergeCell ref="S39:AB39"/>
    <mergeCell ref="B9:C9"/>
    <mergeCell ref="B11:C11"/>
    <mergeCell ref="M9:AB9"/>
    <mergeCell ref="M11:AB11"/>
    <mergeCell ref="G17:AB17"/>
    <mergeCell ref="B13:C13"/>
    <mergeCell ref="M13:AB13"/>
    <mergeCell ref="B3:C3"/>
    <mergeCell ref="B5:C5"/>
    <mergeCell ref="B7:C7"/>
    <mergeCell ref="M3:AB3"/>
    <mergeCell ref="M5:AB5"/>
    <mergeCell ref="M7:AB7"/>
    <mergeCell ref="H25:AB25"/>
    <mergeCell ref="H27:AB27"/>
    <mergeCell ref="H19:AB19"/>
    <mergeCell ref="G23:J23"/>
    <mergeCell ref="K23:AB23"/>
    <mergeCell ref="G21:R21"/>
    <mergeCell ref="S21:AB21"/>
    <mergeCell ref="G35:J35"/>
    <mergeCell ref="K35:AB35"/>
    <mergeCell ref="G29:L29"/>
    <mergeCell ref="M29:AB29"/>
    <mergeCell ref="G31:R31"/>
    <mergeCell ref="S31:AB31"/>
    <mergeCell ref="G33:J33"/>
    <mergeCell ref="K33:AB33"/>
  </mergeCells>
  <printOptions horizontalCentered="1" verticalCentered="1"/>
  <pageMargins left="0.25" right="0.25" top="0.25" bottom="0.25" header="0" footer="0"/>
  <pageSetup scale="96" orientation="landscape" r:id="rId1"/>
  <drawing r:id="rId2"/>
  <legacyDrawingHF r:id="rId3"/>
  <extLst>
    <ext xmlns:x14="http://schemas.microsoft.com/office/spreadsheetml/2009/9/main" uri="{CCE6A557-97BC-4b89-ADB6-D9C93CAAB3DF}">
      <x14:dataValidations xmlns:xm="http://schemas.microsoft.com/office/excel/2006/main" xWindow="1146" yWindow="496" count="1">
        <x14:dataValidation type="list" allowBlank="1" showInputMessage="1" showErrorMessage="1" promptTitle="Calc Vehicle-Gate Interaction" xr:uid="{00000000-0002-0000-0200-000000000000}">
          <x14:formula1>
            <xm:f>Other!$E$1:$E$2</xm:f>
          </x14:formula1>
          <xm:sqref>E17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H22"/>
  <sheetViews>
    <sheetView showGridLines="0" view="pageLayout" zoomScale="90" zoomScaleNormal="100" zoomScaleSheetLayoutView="100" zoomScalePageLayoutView="90" workbookViewId="0">
      <selection activeCell="E21" sqref="E21"/>
    </sheetView>
  </sheetViews>
  <sheetFormatPr defaultColWidth="9.109375" defaultRowHeight="14.4" x14ac:dyDescent="0.3"/>
  <cols>
    <col min="1" max="1" width="33.33203125" customWidth="1"/>
    <col min="2" max="2" width="21.44140625" bestFit="1" customWidth="1"/>
    <col min="3" max="3" width="9.109375" style="2"/>
    <col min="8" max="8" width="33.33203125" style="163" customWidth="1"/>
  </cols>
  <sheetData>
    <row r="1" spans="2:8" ht="39" customHeight="1" x14ac:dyDescent="0.3">
      <c r="C1"/>
      <c r="H1" s="184" t="s">
        <v>209</v>
      </c>
    </row>
    <row r="2" spans="2:8" ht="15.75" customHeight="1" thickBot="1" x14ac:dyDescent="0.35"/>
    <row r="3" spans="2:8" ht="15" thickBot="1" x14ac:dyDescent="0.35">
      <c r="B3" s="139" t="s">
        <v>14</v>
      </c>
      <c r="C3" s="144" t="s">
        <v>6</v>
      </c>
      <c r="D3" s="144" t="s">
        <v>15</v>
      </c>
      <c r="E3" s="144" t="s">
        <v>16</v>
      </c>
      <c r="F3" s="144" t="s">
        <v>17</v>
      </c>
      <c r="G3" s="145" t="s">
        <v>18</v>
      </c>
    </row>
    <row r="4" spans="2:8" x14ac:dyDescent="0.3">
      <c r="B4" s="137" t="s">
        <v>102</v>
      </c>
      <c r="C4" s="116">
        <v>0</v>
      </c>
      <c r="D4" s="116">
        <v>7.75</v>
      </c>
      <c r="E4" s="116">
        <v>3.2519999999999998</v>
      </c>
      <c r="F4" s="116">
        <v>5.6790000000000003</v>
      </c>
      <c r="G4" s="143">
        <v>2.153</v>
      </c>
    </row>
    <row r="5" spans="2:8" x14ac:dyDescent="0.3">
      <c r="B5" s="135" t="s">
        <v>19</v>
      </c>
      <c r="C5" s="112">
        <v>0</v>
      </c>
      <c r="D5" s="112">
        <v>8.16</v>
      </c>
      <c r="E5" s="112">
        <v>3.6240000000000001</v>
      </c>
      <c r="F5" s="112">
        <v>5.07</v>
      </c>
      <c r="G5" s="140">
        <v>2.0179999999999998</v>
      </c>
    </row>
    <row r="6" spans="2:8" x14ac:dyDescent="0.3">
      <c r="B6" s="136"/>
      <c r="C6" s="146">
        <v>2</v>
      </c>
      <c r="D6" s="112">
        <v>8.16</v>
      </c>
      <c r="E6" s="112">
        <v>3.6240000000000001</v>
      </c>
      <c r="F6" s="112">
        <v>5.07</v>
      </c>
      <c r="G6" s="140">
        <v>2.0179999999999998</v>
      </c>
    </row>
    <row r="7" spans="2:8" x14ac:dyDescent="0.3">
      <c r="B7" s="136"/>
      <c r="C7" s="146">
        <v>4</v>
      </c>
      <c r="D7" s="112">
        <v>10.39</v>
      </c>
      <c r="E7" s="112">
        <v>4.8650000000000002</v>
      </c>
      <c r="F7" s="112">
        <v>4.5599999999999996</v>
      </c>
      <c r="G7" s="140">
        <v>1.7390000000000001</v>
      </c>
    </row>
    <row r="8" spans="2:8" x14ac:dyDescent="0.3">
      <c r="B8" s="136"/>
      <c r="C8" s="146">
        <v>6</v>
      </c>
      <c r="D8" s="112">
        <v>9.52</v>
      </c>
      <c r="E8" s="112">
        <v>4.5419999999999998</v>
      </c>
      <c r="F8" s="112">
        <v>4.3929999999999998</v>
      </c>
      <c r="G8" s="140">
        <v>1.7</v>
      </c>
    </row>
    <row r="9" spans="2:8" x14ac:dyDescent="0.3">
      <c r="B9" s="137"/>
      <c r="C9" s="146">
        <v>8</v>
      </c>
      <c r="D9" s="112">
        <v>9.3800000000000008</v>
      </c>
      <c r="E9" s="112">
        <v>4.5970000000000004</v>
      </c>
      <c r="F9" s="112">
        <v>4.165</v>
      </c>
      <c r="G9" s="140">
        <v>1.6679999999999999</v>
      </c>
    </row>
    <row r="10" spans="2:8" x14ac:dyDescent="0.3">
      <c r="B10" s="135" t="s">
        <v>20</v>
      </c>
      <c r="C10" s="146">
        <v>0</v>
      </c>
      <c r="D10" s="112">
        <v>10.02</v>
      </c>
      <c r="E10" s="112">
        <v>4.1079999999999997</v>
      </c>
      <c r="F10" s="112">
        <v>5.95</v>
      </c>
      <c r="G10" s="140">
        <v>0.88500000000000001</v>
      </c>
    </row>
    <row r="11" spans="2:8" x14ac:dyDescent="0.3">
      <c r="B11" s="136"/>
      <c r="C11" s="146">
        <v>1</v>
      </c>
      <c r="D11" s="112">
        <v>10.02</v>
      </c>
      <c r="E11" s="112">
        <v>4.1079999999999997</v>
      </c>
      <c r="F11" s="112">
        <v>5.95</v>
      </c>
      <c r="G11" s="140">
        <v>0.88500000000000001</v>
      </c>
    </row>
    <row r="12" spans="2:8" x14ac:dyDescent="0.3">
      <c r="B12" s="136"/>
      <c r="C12" s="146">
        <v>2</v>
      </c>
      <c r="D12" s="112">
        <v>11.51</v>
      </c>
      <c r="E12" s="112">
        <v>5.2539999999999996</v>
      </c>
      <c r="F12" s="112">
        <v>4.8010000000000002</v>
      </c>
      <c r="G12" s="140">
        <v>1.3</v>
      </c>
    </row>
    <row r="13" spans="2:8" x14ac:dyDescent="0.3">
      <c r="B13" s="136"/>
      <c r="C13" s="146">
        <v>4</v>
      </c>
      <c r="D13" s="112">
        <v>10.79</v>
      </c>
      <c r="E13" s="112">
        <v>5.0419999999999998</v>
      </c>
      <c r="F13" s="112">
        <v>4.577</v>
      </c>
      <c r="G13" s="140">
        <v>1.266</v>
      </c>
    </row>
    <row r="14" spans="2:8" x14ac:dyDescent="0.3">
      <c r="B14" s="136"/>
      <c r="C14" s="146">
        <v>6</v>
      </c>
      <c r="D14" s="112">
        <v>10.61</v>
      </c>
      <c r="E14" s="112">
        <v>5.101</v>
      </c>
      <c r="F14" s="112">
        <v>4.3289999999999997</v>
      </c>
      <c r="G14" s="140">
        <v>1.2529999999999999</v>
      </c>
    </row>
    <row r="15" spans="2:8" x14ac:dyDescent="0.3">
      <c r="B15" s="137"/>
      <c r="C15" s="146">
        <v>8</v>
      </c>
      <c r="D15" s="112">
        <v>11.84</v>
      </c>
      <c r="E15" s="112">
        <v>6.1980000000000004</v>
      </c>
      <c r="F15" s="112">
        <v>3.6520000000000001</v>
      </c>
      <c r="G15" s="140">
        <v>1.554</v>
      </c>
    </row>
    <row r="16" spans="2:8" x14ac:dyDescent="0.3">
      <c r="B16" s="135" t="s">
        <v>21</v>
      </c>
      <c r="C16" s="146">
        <v>0</v>
      </c>
      <c r="D16" s="112">
        <v>17.75</v>
      </c>
      <c r="E16" s="112">
        <v>7.984</v>
      </c>
      <c r="F16" s="112">
        <v>4.9400000000000004</v>
      </c>
      <c r="G16" s="140">
        <v>0.48099999999999998</v>
      </c>
    </row>
    <row r="17" spans="1:8" x14ac:dyDescent="0.3">
      <c r="B17" s="136"/>
      <c r="C17" s="146">
        <v>2</v>
      </c>
      <c r="D17" s="112">
        <v>10.26</v>
      </c>
      <c r="E17" s="112">
        <v>4.0259999999999998</v>
      </c>
      <c r="F17" s="112">
        <v>6.5</v>
      </c>
      <c r="G17" s="140">
        <v>0.249</v>
      </c>
    </row>
    <row r="18" spans="1:8" x14ac:dyDescent="0.3">
      <c r="B18" s="136"/>
      <c r="C18" s="146">
        <v>4</v>
      </c>
      <c r="D18" s="112">
        <v>9.39</v>
      </c>
      <c r="E18" s="112">
        <v>3.6349999999999998</v>
      </c>
      <c r="F18" s="112">
        <v>6.67</v>
      </c>
      <c r="G18" s="140">
        <v>0.193</v>
      </c>
    </row>
    <row r="19" spans="1:8" x14ac:dyDescent="0.3">
      <c r="B19" s="136"/>
      <c r="C19" s="146">
        <v>6</v>
      </c>
      <c r="D19" s="112">
        <v>9.3800000000000008</v>
      </c>
      <c r="E19" s="112">
        <v>3.7320000000000002</v>
      </c>
      <c r="F19" s="112">
        <v>6.31</v>
      </c>
      <c r="G19" s="140">
        <v>0.188</v>
      </c>
    </row>
    <row r="20" spans="1:8" ht="15" thickBot="1" x14ac:dyDescent="0.35">
      <c r="B20" s="138"/>
      <c r="C20" s="147">
        <v>8</v>
      </c>
      <c r="D20" s="141">
        <v>10.31</v>
      </c>
      <c r="E20" s="141">
        <v>4.5149999999999997</v>
      </c>
      <c r="F20" s="141">
        <v>5.2190000000000003</v>
      </c>
      <c r="G20" s="142">
        <v>0.26500000000000001</v>
      </c>
    </row>
    <row r="21" spans="1:8" ht="237.9" customHeight="1" x14ac:dyDescent="0.3">
      <c r="A21" s="331"/>
      <c r="B21" s="331"/>
      <c r="C21" s="331"/>
      <c r="D21" s="331"/>
      <c r="E21" s="332"/>
      <c r="F21" s="332"/>
      <c r="G21" s="332"/>
    </row>
    <row r="22" spans="1:8" ht="30" customHeight="1" x14ac:dyDescent="0.3">
      <c r="H22" s="1" t="s">
        <v>181</v>
      </c>
    </row>
  </sheetData>
  <sheetProtection algorithmName="SHA-512" hashValue="OwNUHONBwUYbkdUv17Ek36LDMEcVMk6gHM5haKPgKDBcVqICGNSDopr4lTHB0nl2PgterYE8CfswmLHkiwOKlg==" saltValue="z7pQqBVa0ANncXAKJEt3nA==" spinCount="100000" sheet="1" objects="1" scenarios="1" selectLockedCells="1"/>
  <mergeCells count="1">
    <mergeCell ref="A21:G21"/>
  </mergeCells>
  <printOptions horizontalCentered="1"/>
  <pageMargins left="0.25" right="0.25" top="0.25" bottom="0.25" header="0" footer="0"/>
  <pageSetup orientation="landscape" r:id="rId1"/>
  <headerFooter>
    <oddHeader>&amp;C&amp;G</oddHead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dimension ref="B1:G22"/>
  <sheetViews>
    <sheetView showGridLines="0" view="pageLayout" zoomScale="90" zoomScaleNormal="100" zoomScaleSheetLayoutView="90" zoomScalePageLayoutView="90" workbookViewId="0">
      <selection activeCell="E21" sqref="E21"/>
    </sheetView>
  </sheetViews>
  <sheetFormatPr defaultColWidth="9.109375" defaultRowHeight="14.4" x14ac:dyDescent="0.3"/>
  <cols>
    <col min="1" max="1" width="6" customWidth="1"/>
    <col min="2" max="2" width="55.109375" bestFit="1" customWidth="1"/>
    <col min="3" max="3" width="19.44140625" bestFit="1" customWidth="1"/>
    <col min="4" max="4" width="18.109375" bestFit="1" customWidth="1"/>
    <col min="5" max="5" width="13.6640625" bestFit="1" customWidth="1"/>
    <col min="6" max="6" width="15" bestFit="1" customWidth="1"/>
    <col min="7" max="7" width="6" customWidth="1"/>
  </cols>
  <sheetData>
    <row r="1" spans="2:7" ht="39" customHeight="1" x14ac:dyDescent="0.3">
      <c r="G1" s="183" t="s">
        <v>209</v>
      </c>
    </row>
    <row r="2" spans="2:7" ht="15.75" customHeight="1" thickBot="1" x14ac:dyDescent="0.35"/>
    <row r="3" spans="2:7" ht="15" thickBot="1" x14ac:dyDescent="0.35">
      <c r="B3" s="152" t="s">
        <v>32</v>
      </c>
      <c r="C3" s="153" t="s">
        <v>33</v>
      </c>
      <c r="D3" s="153" t="s">
        <v>34</v>
      </c>
      <c r="E3" s="153" t="s">
        <v>35</v>
      </c>
      <c r="F3" s="154" t="s">
        <v>36</v>
      </c>
    </row>
    <row r="4" spans="2:7" x14ac:dyDescent="0.3">
      <c r="B4" s="121">
        <v>4</v>
      </c>
      <c r="C4" s="151">
        <v>0.85</v>
      </c>
      <c r="D4" s="116">
        <v>0.13</v>
      </c>
      <c r="E4" s="151">
        <v>0.21</v>
      </c>
      <c r="F4" s="143">
        <v>0.13</v>
      </c>
    </row>
    <row r="5" spans="2:7" x14ac:dyDescent="0.3">
      <c r="B5" s="148">
        <v>5</v>
      </c>
      <c r="C5" s="48">
        <v>0.86</v>
      </c>
      <c r="D5" s="112">
        <v>0.18</v>
      </c>
      <c r="E5" s="48">
        <v>0.27</v>
      </c>
      <c r="F5" s="140">
        <v>0.18</v>
      </c>
    </row>
    <row r="6" spans="2:7" x14ac:dyDescent="0.3">
      <c r="B6" s="148">
        <v>6</v>
      </c>
      <c r="C6" s="48">
        <v>0.87</v>
      </c>
      <c r="D6" s="112">
        <v>0.23</v>
      </c>
      <c r="E6" s="48">
        <v>0.33</v>
      </c>
      <c r="F6" s="140">
        <v>0.23</v>
      </c>
    </row>
    <row r="7" spans="2:7" x14ac:dyDescent="0.3">
      <c r="B7" s="148">
        <v>7</v>
      </c>
      <c r="C7" s="48">
        <v>0.88</v>
      </c>
      <c r="D7" s="112">
        <v>0.26</v>
      </c>
      <c r="E7" s="48">
        <v>0.37</v>
      </c>
      <c r="F7" s="140">
        <v>0.26</v>
      </c>
    </row>
    <row r="8" spans="2:7" x14ac:dyDescent="0.3">
      <c r="B8" s="148">
        <v>8</v>
      </c>
      <c r="C8" s="48">
        <v>0.89</v>
      </c>
      <c r="D8" s="112">
        <v>0.31</v>
      </c>
      <c r="E8" s="48">
        <v>0.4</v>
      </c>
      <c r="F8" s="140">
        <v>0.31</v>
      </c>
    </row>
    <row r="9" spans="2:7" x14ac:dyDescent="0.3">
      <c r="B9" s="148">
        <v>9</v>
      </c>
      <c r="C9" s="48">
        <v>0.9</v>
      </c>
      <c r="D9" s="112">
        <v>0.34</v>
      </c>
      <c r="E9" s="48">
        <v>0.44</v>
      </c>
      <c r="F9" s="140">
        <v>0.34</v>
      </c>
    </row>
    <row r="10" spans="2:7" x14ac:dyDescent="0.3">
      <c r="B10" s="148">
        <v>10</v>
      </c>
      <c r="C10" s="48">
        <v>0.91</v>
      </c>
      <c r="D10" s="112">
        <v>0.36</v>
      </c>
      <c r="E10" s="48">
        <v>0.46</v>
      </c>
      <c r="F10" s="140">
        <v>0.36</v>
      </c>
    </row>
    <row r="11" spans="2:7" x14ac:dyDescent="0.3">
      <c r="B11" s="148">
        <v>11</v>
      </c>
      <c r="C11" s="48">
        <v>0.92</v>
      </c>
      <c r="D11" s="112">
        <v>0.39</v>
      </c>
      <c r="E11" s="48">
        <v>0.48</v>
      </c>
      <c r="F11" s="140">
        <v>0.39</v>
      </c>
    </row>
    <row r="12" spans="2:7" x14ac:dyDescent="0.3">
      <c r="B12" s="148">
        <v>12</v>
      </c>
      <c r="C12" s="48">
        <v>0.93</v>
      </c>
      <c r="D12" s="112">
        <v>0.42</v>
      </c>
      <c r="E12" s="48">
        <v>0.51</v>
      </c>
      <c r="F12" s="140">
        <v>0.42</v>
      </c>
    </row>
    <row r="13" spans="2:7" x14ac:dyDescent="0.3">
      <c r="B13" s="148">
        <v>13</v>
      </c>
      <c r="C13" s="48">
        <v>0.93</v>
      </c>
      <c r="D13" s="112">
        <v>0.44</v>
      </c>
      <c r="E13" s="48">
        <v>0.53</v>
      </c>
      <c r="F13" s="140">
        <v>0.44</v>
      </c>
    </row>
    <row r="14" spans="2:7" x14ac:dyDescent="0.3">
      <c r="B14" s="148">
        <v>14</v>
      </c>
      <c r="C14" s="48">
        <v>0.93</v>
      </c>
      <c r="D14" s="112">
        <v>0.45</v>
      </c>
      <c r="E14" s="48">
        <v>0.54</v>
      </c>
      <c r="F14" s="140">
        <v>0.45</v>
      </c>
    </row>
    <row r="15" spans="2:7" x14ac:dyDescent="0.3">
      <c r="B15" s="148">
        <v>15</v>
      </c>
      <c r="C15" s="48">
        <v>0.93</v>
      </c>
      <c r="D15" s="112">
        <v>0.46</v>
      </c>
      <c r="E15" s="48">
        <v>0.56000000000000005</v>
      </c>
      <c r="F15" s="140">
        <v>0.46</v>
      </c>
    </row>
    <row r="16" spans="2:7" x14ac:dyDescent="0.3">
      <c r="B16" s="148">
        <v>16</v>
      </c>
      <c r="C16" s="48">
        <v>0.94</v>
      </c>
      <c r="D16" s="112">
        <v>0.48</v>
      </c>
      <c r="E16" s="48">
        <v>0.56999999999999995</v>
      </c>
      <c r="F16" s="140">
        <v>0.48</v>
      </c>
    </row>
    <row r="17" spans="2:7" x14ac:dyDescent="0.3">
      <c r="B17" s="148">
        <v>17</v>
      </c>
      <c r="C17" s="48">
        <v>0.94</v>
      </c>
      <c r="D17" s="112">
        <v>0.5</v>
      </c>
      <c r="E17" s="48">
        <v>0.57999999999999996</v>
      </c>
      <c r="F17" s="140">
        <v>0.5</v>
      </c>
    </row>
    <row r="18" spans="2:7" x14ac:dyDescent="0.3">
      <c r="B18" s="148">
        <v>18</v>
      </c>
      <c r="C18" s="48">
        <v>0.94</v>
      </c>
      <c r="D18" s="112">
        <v>0.52</v>
      </c>
      <c r="E18" s="48">
        <v>0.59</v>
      </c>
      <c r="F18" s="140">
        <v>0.52</v>
      </c>
    </row>
    <row r="19" spans="2:7" x14ac:dyDescent="0.3">
      <c r="B19" s="148">
        <v>19</v>
      </c>
      <c r="C19" s="48">
        <v>0.94</v>
      </c>
      <c r="D19" s="112">
        <v>0.53</v>
      </c>
      <c r="E19" s="48">
        <v>0.61</v>
      </c>
      <c r="F19" s="140">
        <v>0.53</v>
      </c>
    </row>
    <row r="20" spans="2:7" ht="15" thickBot="1" x14ac:dyDescent="0.35">
      <c r="B20" s="149">
        <v>20</v>
      </c>
      <c r="C20" s="150">
        <v>0.94</v>
      </c>
      <c r="D20" s="141">
        <v>0.54</v>
      </c>
      <c r="E20" s="150">
        <v>0.62</v>
      </c>
      <c r="F20" s="142">
        <v>0.54</v>
      </c>
    </row>
    <row r="21" spans="2:7" ht="237.9" customHeight="1" x14ac:dyDescent="0.3">
      <c r="B21" s="2"/>
      <c r="D21" s="2"/>
      <c r="F21" s="2"/>
    </row>
    <row r="22" spans="2:7" ht="30" customHeight="1" x14ac:dyDescent="0.3">
      <c r="C22" s="2"/>
      <c r="G22" s="1" t="s">
        <v>181</v>
      </c>
    </row>
  </sheetData>
  <sheetProtection algorithmName="SHA-512" hashValue="t4lJY6XhgkU3H+KxpUlZb6uKvmWG/iGyM/OzycDv/1rQmGn5+wn6gjUXri/v/qdb/uHDxcMPHgX81DfkgOHk9w==" saltValue="QKDwtAi5OvbwceKND0yDmA==" spinCount="100000" sheet="1" objects="1" scenarios="1" selectLockedCells="1"/>
  <printOptions horizontalCentered="1"/>
  <pageMargins left="0.25" right="0.25" top="0.25" bottom="0.25" header="0" footer="0"/>
  <pageSetup orientation="landscape" r:id="rId1"/>
  <headerFooter>
    <oddHeader>&amp;C&amp;G</oddHead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dimension ref="A1:AB75"/>
  <sheetViews>
    <sheetView showGridLines="0" view="pageLayout" zoomScaleNormal="90" zoomScaleSheetLayoutView="100" workbookViewId="0">
      <selection activeCell="E17" sqref="E17"/>
    </sheetView>
  </sheetViews>
  <sheetFormatPr defaultColWidth="9.109375" defaultRowHeight="14.4" x14ac:dyDescent="0.3"/>
  <cols>
    <col min="1" max="1" width="21.5546875" customWidth="1"/>
    <col min="2" max="2" width="12.6640625" customWidth="1"/>
    <col min="3" max="3" width="16.6640625" customWidth="1"/>
    <col min="4" max="4" width="10" customWidth="1"/>
    <col min="5" max="5" width="10.109375" customWidth="1"/>
    <col min="6" max="6" width="2.33203125" customWidth="1"/>
    <col min="7" max="7" width="10.44140625" customWidth="1"/>
    <col min="8" max="9" width="2.109375" customWidth="1"/>
    <col min="10" max="10" width="5.6640625" customWidth="1"/>
    <col min="11" max="27" width="2.33203125" customWidth="1"/>
    <col min="28" max="28" width="1.33203125" customWidth="1"/>
  </cols>
  <sheetData>
    <row r="1" spans="1:28" ht="39" customHeight="1" x14ac:dyDescent="0.3">
      <c r="B1" s="333" t="s">
        <v>615</v>
      </c>
      <c r="C1" s="333"/>
      <c r="D1" s="333"/>
      <c r="E1" s="333"/>
      <c r="F1" s="333"/>
      <c r="G1" s="333"/>
      <c r="H1" s="333"/>
      <c r="I1" s="333"/>
      <c r="J1" s="333"/>
      <c r="K1" s="333"/>
      <c r="L1" s="333"/>
      <c r="M1" s="333"/>
      <c r="N1" s="333"/>
      <c r="O1" s="333"/>
      <c r="P1" s="333"/>
      <c r="Q1" s="333"/>
      <c r="R1" s="333"/>
      <c r="S1" s="333"/>
      <c r="T1" s="333"/>
      <c r="U1" s="333"/>
      <c r="V1" s="333"/>
      <c r="W1" s="333"/>
      <c r="X1" s="333"/>
      <c r="Y1" s="333"/>
      <c r="Z1" s="333"/>
      <c r="AA1" s="333"/>
      <c r="AB1" s="333"/>
    </row>
    <row r="3" spans="1:28" x14ac:dyDescent="0.3">
      <c r="A3" s="1" t="s">
        <v>0</v>
      </c>
      <c r="B3" s="328" t="str">
        <f>IF(PreemptionForm!B5=0,"",PreemptionForm!B5)</f>
        <v/>
      </c>
      <c r="C3" s="328"/>
      <c r="L3" s="1" t="s">
        <v>2</v>
      </c>
      <c r="M3" s="329" t="str">
        <f>IF(PreemptionForm!O5=0,"",PreemptionForm!O5)</f>
        <v/>
      </c>
      <c r="N3" s="329"/>
      <c r="O3" s="329"/>
      <c r="P3" s="329"/>
      <c r="Q3" s="329"/>
      <c r="R3" s="329"/>
      <c r="S3" s="329"/>
      <c r="T3" s="329"/>
      <c r="U3" s="329"/>
      <c r="V3" s="329"/>
      <c r="W3" s="329"/>
      <c r="X3" s="329"/>
      <c r="Y3" s="329"/>
      <c r="Z3" s="329"/>
      <c r="AA3" s="329"/>
      <c r="AB3" s="329"/>
    </row>
    <row r="4" spans="1:28" ht="7.35" customHeight="1" x14ac:dyDescent="0.3">
      <c r="A4" s="1"/>
      <c r="B4" s="2"/>
      <c r="C4" s="2"/>
      <c r="E4" s="1"/>
      <c r="F4" s="2"/>
      <c r="G4" s="2"/>
      <c r="H4" s="2"/>
      <c r="I4" s="2"/>
      <c r="J4" s="2"/>
      <c r="K4" s="2"/>
      <c r="L4" s="2"/>
      <c r="M4" s="2"/>
      <c r="N4" s="2"/>
      <c r="O4" s="2"/>
      <c r="P4" s="2"/>
      <c r="Q4" s="2"/>
      <c r="R4" s="2"/>
      <c r="S4" s="2"/>
      <c r="T4" s="2"/>
      <c r="U4" s="2"/>
      <c r="V4" s="2"/>
      <c r="W4" s="2"/>
      <c r="X4" s="2"/>
      <c r="Y4" s="2"/>
      <c r="Z4" s="2"/>
      <c r="AA4" s="2"/>
      <c r="AB4" s="2"/>
    </row>
    <row r="5" spans="1:28" x14ac:dyDescent="0.3">
      <c r="A5" s="1" t="s">
        <v>1</v>
      </c>
      <c r="B5" s="328" t="str">
        <f>IF(PreemptionForm!B7=0,"",PreemptionForm!B7)</f>
        <v/>
      </c>
      <c r="C5" s="328"/>
      <c r="L5" s="1" t="s">
        <v>3</v>
      </c>
      <c r="M5" s="328" t="str">
        <f>IF(PreemptionForm!O7=0,"",PreemptionForm!O7)</f>
        <v/>
      </c>
      <c r="N5" s="328"/>
      <c r="O5" s="328"/>
      <c r="P5" s="328"/>
      <c r="Q5" s="328"/>
      <c r="R5" s="328"/>
      <c r="S5" s="328"/>
      <c r="T5" s="328"/>
      <c r="U5" s="328"/>
      <c r="V5" s="328"/>
      <c r="W5" s="328"/>
      <c r="X5" s="328"/>
      <c r="Y5" s="328"/>
      <c r="Z5" s="328"/>
      <c r="AA5" s="328"/>
      <c r="AB5" s="328"/>
    </row>
    <row r="6" spans="1:28" ht="7.35" customHeight="1" x14ac:dyDescent="0.3">
      <c r="A6" s="1"/>
      <c r="B6" s="2"/>
      <c r="C6" s="2"/>
      <c r="E6" s="1"/>
      <c r="F6" s="2"/>
      <c r="G6" s="2"/>
      <c r="H6" s="2"/>
      <c r="I6" s="2"/>
      <c r="J6" s="2"/>
      <c r="K6" s="2"/>
      <c r="L6" s="2"/>
      <c r="M6" s="2"/>
      <c r="N6" s="2"/>
      <c r="O6" s="2"/>
      <c r="P6" s="2"/>
      <c r="Q6" s="2"/>
      <c r="R6" s="2"/>
      <c r="S6" s="2"/>
      <c r="T6" s="2"/>
      <c r="U6" s="2"/>
      <c r="V6" s="2"/>
      <c r="W6" s="2"/>
      <c r="X6" s="2"/>
      <c r="Y6" s="2"/>
      <c r="Z6" s="2"/>
      <c r="AA6" s="2"/>
      <c r="AB6" s="2"/>
    </row>
    <row r="7" spans="1:28" ht="15" customHeight="1" x14ac:dyDescent="0.3">
      <c r="A7" s="1" t="s">
        <v>54</v>
      </c>
      <c r="B7" s="328" t="str">
        <f>IF(PreemptionForm!B9=0,"",PreemptionForm!B9)</f>
        <v/>
      </c>
      <c r="C7" s="328"/>
      <c r="E7" s="1"/>
      <c r="F7" s="2"/>
      <c r="G7" s="2"/>
      <c r="H7" s="2"/>
      <c r="I7" s="2"/>
      <c r="J7" s="2"/>
      <c r="K7" s="2"/>
      <c r="L7" s="1" t="s">
        <v>55</v>
      </c>
      <c r="M7" s="328" t="str">
        <f>IF(PreemptionForm!O9=0,"",PreemptionForm!O9)</f>
        <v/>
      </c>
      <c r="N7" s="328"/>
      <c r="O7" s="328"/>
      <c r="P7" s="328"/>
      <c r="Q7" s="328"/>
      <c r="R7" s="328"/>
      <c r="S7" s="328"/>
      <c r="T7" s="328"/>
      <c r="U7" s="328"/>
      <c r="V7" s="328"/>
      <c r="W7" s="328"/>
      <c r="X7" s="328"/>
      <c r="Y7" s="328"/>
      <c r="Z7" s="328"/>
      <c r="AA7" s="328"/>
      <c r="AB7" s="328"/>
    </row>
    <row r="8" spans="1:28" ht="6.6" customHeight="1" x14ac:dyDescent="0.3">
      <c r="A8" s="1"/>
      <c r="B8" s="2"/>
      <c r="C8" s="2"/>
      <c r="E8" s="1"/>
      <c r="F8" s="2"/>
      <c r="G8" s="2"/>
      <c r="H8" s="2"/>
      <c r="I8" s="2"/>
      <c r="J8" s="2"/>
      <c r="K8" s="2"/>
      <c r="L8" s="1"/>
      <c r="M8" s="1"/>
      <c r="N8" s="1"/>
      <c r="O8" s="1"/>
      <c r="P8" s="1"/>
      <c r="Q8" s="1"/>
      <c r="R8" s="1"/>
      <c r="S8" s="1"/>
      <c r="T8" s="1"/>
      <c r="U8" s="1"/>
      <c r="V8" s="1"/>
      <c r="W8" s="1"/>
      <c r="X8" s="1"/>
      <c r="Y8" s="1"/>
      <c r="Z8" s="1"/>
      <c r="AA8" s="1"/>
      <c r="AB8" s="1"/>
    </row>
    <row r="9" spans="1:28" ht="15" customHeight="1" x14ac:dyDescent="0.3">
      <c r="A9" s="1" t="s">
        <v>66</v>
      </c>
      <c r="B9" s="328" t="str">
        <f>IF(PreemptionForm!B11=0,"",PreemptionForm!B11)</f>
        <v/>
      </c>
      <c r="C9" s="328"/>
      <c r="E9" s="1"/>
      <c r="F9" s="2"/>
      <c r="G9" s="2"/>
      <c r="H9" s="2"/>
      <c r="I9" s="2"/>
      <c r="J9" s="2"/>
      <c r="K9" s="2"/>
      <c r="L9" s="1" t="s">
        <v>4</v>
      </c>
      <c r="M9" s="328" t="str">
        <f>IF(PreemptionForm!O11=0,"",PreemptionForm!O11)</f>
        <v/>
      </c>
      <c r="N9" s="328"/>
      <c r="O9" s="328"/>
      <c r="P9" s="328"/>
      <c r="Q9" s="328"/>
      <c r="R9" s="328"/>
      <c r="S9" s="328"/>
      <c r="T9" s="328"/>
      <c r="U9" s="328"/>
      <c r="V9" s="328"/>
      <c r="W9" s="328"/>
      <c r="X9" s="328"/>
      <c r="Y9" s="328"/>
      <c r="Z9" s="328"/>
      <c r="AA9" s="328"/>
      <c r="AB9" s="328"/>
    </row>
    <row r="10" spans="1:28" ht="5.85" customHeight="1" x14ac:dyDescent="0.3">
      <c r="A10" s="1"/>
      <c r="B10" s="2"/>
      <c r="C10" s="2"/>
      <c r="E10" s="1"/>
      <c r="F10" s="2"/>
      <c r="G10" s="2"/>
      <c r="H10" s="2"/>
      <c r="I10" s="2"/>
      <c r="J10" s="2"/>
      <c r="K10" s="2"/>
      <c r="L10" s="1"/>
      <c r="M10" s="1"/>
      <c r="N10" s="1"/>
      <c r="O10" s="1"/>
      <c r="P10" s="1"/>
      <c r="Q10" s="1"/>
      <c r="R10" s="1"/>
      <c r="S10" s="1"/>
      <c r="T10" s="1"/>
      <c r="U10" s="1"/>
      <c r="V10" s="1"/>
      <c r="W10" s="1"/>
      <c r="X10" s="1"/>
      <c r="Y10" s="1"/>
      <c r="Z10" s="1"/>
      <c r="AA10" s="1"/>
      <c r="AB10" s="1"/>
    </row>
    <row r="11" spans="1:28" ht="15" customHeight="1" x14ac:dyDescent="0.3">
      <c r="A11" s="1" t="s">
        <v>65</v>
      </c>
      <c r="B11" s="328" t="str">
        <f>IF(PreemptionForm!B13=0,"",PreemptionForm!B13)</f>
        <v/>
      </c>
      <c r="C11" s="328"/>
      <c r="E11" s="1"/>
      <c r="F11" s="2"/>
      <c r="G11" s="2"/>
      <c r="H11" s="2"/>
      <c r="I11" s="2"/>
      <c r="J11" s="2"/>
      <c r="K11" s="2"/>
      <c r="L11" s="1" t="s">
        <v>595</v>
      </c>
      <c r="M11" s="328" t="str">
        <f>IF(PreemptionForm!O13=0,"",PreemptionForm!O13)</f>
        <v/>
      </c>
      <c r="N11" s="328"/>
      <c r="O11" s="328"/>
      <c r="P11" s="328"/>
      <c r="Q11" s="328"/>
      <c r="R11" s="328"/>
      <c r="S11" s="328"/>
      <c r="T11" s="328"/>
      <c r="U11" s="328"/>
      <c r="V11" s="328"/>
      <c r="W11" s="328"/>
      <c r="X11" s="328"/>
      <c r="Y11" s="328"/>
      <c r="Z11" s="328"/>
      <c r="AA11" s="328"/>
      <c r="AB11" s="328"/>
    </row>
    <row r="12" spans="1:28" ht="7.35" customHeight="1" x14ac:dyDescent="0.3">
      <c r="A12" s="1"/>
    </row>
    <row r="13" spans="1:28" ht="15" customHeight="1" x14ac:dyDescent="0.3">
      <c r="A13" s="1" t="s">
        <v>618</v>
      </c>
      <c r="B13" s="328" t="str">
        <f>IF(PreemptionForm!B15=0,"",PreemptionForm!B15)</f>
        <v/>
      </c>
      <c r="C13" s="328"/>
      <c r="E13" s="1"/>
      <c r="F13" s="2"/>
      <c r="G13" s="2"/>
      <c r="H13" s="2"/>
      <c r="I13" s="2"/>
      <c r="J13" s="2"/>
      <c r="K13" s="2"/>
      <c r="L13" s="1" t="s">
        <v>50</v>
      </c>
      <c r="M13" s="328" t="str">
        <f>IF(PreemptionForm!O15=0,"",PreemptionForm!O15)</f>
        <v/>
      </c>
      <c r="N13" s="328"/>
      <c r="O13" s="328"/>
      <c r="P13" s="328"/>
      <c r="Q13" s="328"/>
      <c r="R13" s="328"/>
      <c r="S13" s="328"/>
      <c r="T13" s="328"/>
      <c r="U13" s="328"/>
      <c r="V13" s="328"/>
      <c r="W13" s="328"/>
      <c r="X13" s="328"/>
      <c r="Y13" s="328"/>
      <c r="Z13" s="328"/>
      <c r="AA13" s="328"/>
      <c r="AB13" s="328"/>
    </row>
    <row r="14" spans="1:28" ht="15" customHeight="1" x14ac:dyDescent="0.3">
      <c r="A14" s="1"/>
    </row>
    <row r="15" spans="1:28" ht="15" x14ac:dyDescent="0.3">
      <c r="A15" s="218" t="s">
        <v>451</v>
      </c>
      <c r="G15" s="10" t="s">
        <v>24</v>
      </c>
      <c r="H15" s="10"/>
      <c r="I15" s="10"/>
    </row>
    <row r="16" spans="1:28" ht="6.6" customHeight="1" x14ac:dyDescent="0.3">
      <c r="A16" s="218"/>
      <c r="G16" s="10"/>
      <c r="H16" s="10"/>
      <c r="I16" s="10"/>
    </row>
    <row r="17" spans="1:28" x14ac:dyDescent="0.3">
      <c r="D17" s="13" t="s">
        <v>474</v>
      </c>
      <c r="E17" s="24" t="s">
        <v>23</v>
      </c>
      <c r="G17" s="292"/>
      <c r="H17" s="292"/>
      <c r="I17" s="292"/>
      <c r="J17" s="292"/>
      <c r="K17" s="292"/>
      <c r="L17" s="292"/>
      <c r="M17" s="292"/>
      <c r="N17" s="292"/>
      <c r="O17" s="292"/>
      <c r="P17" s="292"/>
      <c r="Q17" s="292"/>
      <c r="R17" s="292"/>
      <c r="S17" s="292"/>
      <c r="T17" s="292"/>
      <c r="U17" s="292"/>
      <c r="V17" s="292"/>
      <c r="W17" s="292"/>
      <c r="X17" s="292"/>
      <c r="Y17" s="292"/>
      <c r="Z17" s="292"/>
      <c r="AA17" s="292"/>
      <c r="AB17" s="292"/>
    </row>
    <row r="18" spans="1:28" ht="9.9" customHeight="1" x14ac:dyDescent="0.3">
      <c r="G18" s="99"/>
      <c r="H18" s="99"/>
      <c r="I18" s="99"/>
      <c r="J18" s="99"/>
      <c r="K18" s="99"/>
      <c r="L18" s="99"/>
      <c r="M18" s="99"/>
      <c r="N18" s="99"/>
      <c r="O18" s="99"/>
      <c r="P18" s="99"/>
      <c r="Q18" s="99"/>
      <c r="R18" s="99"/>
      <c r="S18" s="99"/>
      <c r="T18" s="99"/>
      <c r="U18" s="99"/>
      <c r="V18" s="99"/>
      <c r="W18" s="99"/>
      <c r="X18" s="99"/>
      <c r="Y18" s="99"/>
      <c r="Z18" s="99"/>
      <c r="AA18" s="99"/>
      <c r="AB18" s="99"/>
    </row>
    <row r="19" spans="1:28" x14ac:dyDescent="0.3">
      <c r="D19" s="13" t="s">
        <v>475</v>
      </c>
      <c r="E19" s="159" t="str">
        <f>IF(AND(E17="yes",OR(PreemptionForm!D66="yes",PreemptionForm!E66="yes",PreemptionForm!F66="yes",PreemptionForm!H66="yes")),PreemptionForm!E44+PreemptionForm!E42+PreemptionForm!E46,"N/A")</f>
        <v>N/A</v>
      </c>
      <c r="G19" s="293" t="s">
        <v>495</v>
      </c>
      <c r="H19" s="293"/>
      <c r="I19" s="293"/>
      <c r="J19" s="292"/>
      <c r="K19" s="292"/>
      <c r="L19" s="292"/>
      <c r="M19" s="292"/>
      <c r="N19" s="292"/>
      <c r="O19" s="292"/>
      <c r="P19" s="292"/>
      <c r="Q19" s="292"/>
      <c r="R19" s="292"/>
      <c r="S19" s="292"/>
      <c r="T19" s="292"/>
      <c r="U19" s="292"/>
      <c r="V19" s="292"/>
      <c r="W19" s="292"/>
      <c r="X19" s="292"/>
      <c r="Y19" s="292"/>
      <c r="Z19" s="292"/>
      <c r="AA19" s="292"/>
      <c r="AB19" s="292"/>
    </row>
    <row r="20" spans="1:28" ht="9.9" customHeight="1" x14ac:dyDescent="0.3">
      <c r="G20" s="99"/>
      <c r="H20" s="99"/>
      <c r="I20" s="99"/>
      <c r="J20" s="99"/>
      <c r="K20" s="99"/>
      <c r="L20" s="99"/>
      <c r="M20" s="99"/>
      <c r="N20" s="99"/>
      <c r="O20" s="99"/>
      <c r="P20" s="99"/>
      <c r="Q20" s="99"/>
      <c r="R20" s="99"/>
      <c r="S20" s="99"/>
      <c r="T20" s="99"/>
      <c r="U20" s="99"/>
      <c r="V20" s="99"/>
      <c r="W20" s="99"/>
      <c r="X20" s="99"/>
      <c r="Y20" s="99"/>
      <c r="Z20" s="99"/>
      <c r="AA20" s="99"/>
      <c r="AB20" s="99"/>
    </row>
    <row r="21" spans="1:28" x14ac:dyDescent="0.3">
      <c r="D21" s="13" t="s">
        <v>476</v>
      </c>
      <c r="E21" s="159" t="str">
        <f>IF(AND(E17="yes",PreemptionForm!D66="yes"),ROUNDUP(MAX('Calculation Summary'!C238,'Calculation Summary'!C247,'Calculation Summary'!C266,),0),IF(AND(E17="yes",PreemptionForm!E66="yes"),ROUNDUP(MAX('Calculation Summary'!C239,'Calculation Summary'!C248,'Calculation Summary'!C270),0),IF(AND(E17="yes",PreemptionForm!F66="yes"),ROUNDUP(MAX('Calculation Summary'!C240,'Calculation Summary'!C249,'Calculation Summary'!C274),0),IF(AND(E17="yes",PreemptionForm!H66="yes"),ROUNDUP(MAX('Calculation Summary'!C241,'Calculation Summary'!C250,'Calculation Summary'!C278),0),"N/A"))))</f>
        <v>N/A</v>
      </c>
      <c r="G21" s="293" t="s">
        <v>205</v>
      </c>
      <c r="H21" s="293"/>
      <c r="I21" s="293"/>
      <c r="J21" s="293"/>
      <c r="K21" s="293"/>
      <c r="L21" s="293"/>
      <c r="M21" s="293"/>
      <c r="N21" s="293"/>
      <c r="O21" s="293"/>
      <c r="P21" s="293"/>
      <c r="Q21" s="293"/>
      <c r="R21" s="293"/>
      <c r="S21" s="292"/>
      <c r="T21" s="292"/>
      <c r="U21" s="292"/>
      <c r="V21" s="292"/>
      <c r="W21" s="292"/>
      <c r="X21" s="292"/>
      <c r="Y21" s="292"/>
      <c r="Z21" s="292"/>
      <c r="AA21" s="292"/>
      <c r="AB21" s="292"/>
    </row>
    <row r="22" spans="1:28" ht="9.9" customHeight="1" x14ac:dyDescent="0.3"/>
    <row r="23" spans="1:28" x14ac:dyDescent="0.3">
      <c r="A23" s="10"/>
      <c r="D23" s="13" t="s">
        <v>477</v>
      </c>
      <c r="E23" s="159" t="str">
        <f>IF(AND(E17="yes",PreemptionForm!D66="yes"),ROUNDUP(PreemptionForm!D64,0),IF(AND(E17="yes",PreemptionForm!E66="yes"),ROUNDUP(PreemptionForm!E64,0),IF(AND(E17="yes",PreemptionForm!F66="yes"),ROUNDUP(PreemptionForm!F64,0),IF(AND(E17="yes",PreemptionForm!H66="yes"),ROUNDUP(PreemptionForm!H64,0),"N/A"))))</f>
        <v>N/A</v>
      </c>
      <c r="G23" s="192" t="s">
        <v>479</v>
      </c>
      <c r="H23" s="293"/>
      <c r="I23" s="293"/>
      <c r="J23" s="293"/>
      <c r="K23" s="293"/>
      <c r="L23" s="293"/>
      <c r="M23" s="293"/>
      <c r="N23" s="293"/>
      <c r="O23" s="293"/>
      <c r="P23" s="293"/>
      <c r="Q23" s="293"/>
      <c r="R23" s="293"/>
      <c r="S23" s="293"/>
      <c r="T23" s="293"/>
      <c r="U23" s="293"/>
      <c r="V23" s="293"/>
      <c r="W23" s="293"/>
      <c r="X23" s="293"/>
      <c r="Y23" s="293"/>
      <c r="Z23" s="293"/>
      <c r="AA23" s="293"/>
      <c r="AB23" s="293"/>
    </row>
    <row r="24" spans="1:28" ht="9.9" customHeight="1" x14ac:dyDescent="0.3">
      <c r="D24" s="13"/>
      <c r="E24" s="253"/>
      <c r="G24" s="254"/>
      <c r="H24" s="254"/>
      <c r="I24" s="254"/>
      <c r="J24" s="254"/>
      <c r="K24" s="254"/>
      <c r="L24" s="254"/>
      <c r="M24" s="254"/>
      <c r="N24" s="254"/>
      <c r="O24" s="254"/>
      <c r="P24" s="254"/>
      <c r="Q24" s="254"/>
      <c r="R24" s="254"/>
      <c r="S24" s="254"/>
      <c r="T24" s="254"/>
      <c r="U24" s="254"/>
      <c r="V24" s="254"/>
      <c r="W24" s="254"/>
      <c r="X24" s="254"/>
      <c r="Y24" s="254"/>
      <c r="Z24" s="254"/>
      <c r="AA24" s="254"/>
      <c r="AB24" s="254"/>
    </row>
    <row r="25" spans="1:28" ht="15" customHeight="1" x14ac:dyDescent="0.3">
      <c r="D25" s="13" t="s">
        <v>478</v>
      </c>
      <c r="E25" s="159">
        <f>IF(AND(E17="yes",OR(PreemptionForm!D66="yes",PreemptionForm!E66="yes",PreemptionForm!F66="yes",PreemptionForm!H66="yes")),E21-E23,0)</f>
        <v>0</v>
      </c>
      <c r="G25" s="293" t="s">
        <v>480</v>
      </c>
      <c r="H25" s="293"/>
      <c r="I25" s="293"/>
      <c r="J25" s="293"/>
      <c r="K25" s="293"/>
      <c r="L25" s="293"/>
      <c r="M25" s="293"/>
      <c r="N25" s="293"/>
      <c r="O25" s="293"/>
      <c r="P25" s="293"/>
      <c r="Q25" s="293"/>
      <c r="R25" s="293"/>
      <c r="S25" s="293"/>
      <c r="T25" s="293"/>
      <c r="U25" s="293"/>
      <c r="V25" s="293"/>
      <c r="W25" s="293"/>
      <c r="X25" s="293"/>
      <c r="Y25" s="293"/>
      <c r="Z25" s="293"/>
      <c r="AA25" s="293"/>
      <c r="AB25" s="293"/>
    </row>
    <row r="26" spans="1:28" x14ac:dyDescent="0.3">
      <c r="D26" s="13"/>
      <c r="E26" s="186"/>
      <c r="G26" s="199"/>
      <c r="H26" s="254"/>
      <c r="I26" s="254"/>
      <c r="J26" s="254"/>
      <c r="K26" s="254"/>
      <c r="L26" s="254"/>
      <c r="M26" s="254"/>
      <c r="N26" s="254"/>
      <c r="O26" s="254"/>
      <c r="P26" s="254"/>
      <c r="Q26" s="254"/>
      <c r="R26" s="254"/>
      <c r="S26" s="254"/>
      <c r="T26" s="254"/>
      <c r="U26" s="254"/>
      <c r="V26" s="254"/>
      <c r="W26" s="254"/>
      <c r="X26" s="254"/>
      <c r="Y26" s="254"/>
      <c r="Z26" s="254"/>
      <c r="AA26" s="254"/>
      <c r="AB26" s="254"/>
    </row>
    <row r="27" spans="1:28" ht="9.9" customHeight="1" x14ac:dyDescent="0.3">
      <c r="G27" s="99"/>
      <c r="H27" s="99"/>
      <c r="I27" s="99"/>
      <c r="J27" s="99"/>
      <c r="K27" s="99"/>
      <c r="L27" s="99"/>
      <c r="M27" s="99"/>
      <c r="N27" s="99"/>
      <c r="O27" s="99"/>
      <c r="P27" s="99"/>
      <c r="Q27" s="99"/>
      <c r="R27" s="99"/>
      <c r="S27" s="99"/>
      <c r="T27" s="99"/>
      <c r="U27" s="99"/>
      <c r="V27" s="99"/>
      <c r="W27" s="99"/>
      <c r="X27" s="99"/>
      <c r="Y27" s="99"/>
      <c r="Z27" s="99"/>
      <c r="AA27" s="99"/>
      <c r="AB27" s="99"/>
    </row>
    <row r="28" spans="1:28" x14ac:dyDescent="0.3">
      <c r="D28" s="13"/>
      <c r="E28" s="186"/>
      <c r="G28" s="199"/>
      <c r="H28" s="199"/>
      <c r="I28" s="199"/>
      <c r="J28" s="199"/>
      <c r="K28" s="199"/>
      <c r="L28" s="199"/>
      <c r="M28" s="199"/>
      <c r="N28" s="199"/>
      <c r="O28" s="199"/>
      <c r="P28" s="199"/>
      <c r="Q28" s="199"/>
      <c r="R28" s="254"/>
      <c r="S28" s="254"/>
      <c r="T28" s="254"/>
      <c r="U28" s="254"/>
      <c r="V28" s="254"/>
      <c r="W28" s="254"/>
      <c r="X28" s="254"/>
      <c r="Y28" s="254"/>
      <c r="Z28" s="254"/>
      <c r="AA28" s="254"/>
      <c r="AB28" s="254"/>
    </row>
    <row r="29" spans="1:28" x14ac:dyDescent="0.3">
      <c r="D29" s="13"/>
      <c r="E29" s="186"/>
      <c r="G29" s="252"/>
      <c r="H29" s="252"/>
      <c r="I29" s="252"/>
      <c r="J29" s="252"/>
      <c r="K29" s="252"/>
      <c r="L29" s="252"/>
      <c r="M29" s="252"/>
      <c r="N29" s="252"/>
      <c r="O29" s="252"/>
      <c r="P29" s="252"/>
      <c r="Q29" s="252"/>
      <c r="R29" s="255"/>
      <c r="S29" s="255"/>
      <c r="T29" s="255"/>
      <c r="U29" s="255"/>
      <c r="V29" s="255"/>
      <c r="W29" s="255"/>
      <c r="X29" s="255"/>
      <c r="Y29" s="255"/>
      <c r="Z29" s="255"/>
      <c r="AA29" s="255"/>
      <c r="AB29" s="255"/>
    </row>
    <row r="30" spans="1:28" x14ac:dyDescent="0.3">
      <c r="A30" s="10"/>
      <c r="D30" s="13"/>
      <c r="E30" s="186"/>
      <c r="G30" s="252"/>
      <c r="H30" s="252"/>
      <c r="I30" s="252"/>
      <c r="J30" s="252"/>
      <c r="K30" s="252"/>
      <c r="L30" s="252"/>
      <c r="M30" s="252"/>
      <c r="N30" s="252"/>
      <c r="O30" s="252"/>
      <c r="P30" s="252"/>
      <c r="Q30" s="252"/>
      <c r="R30" s="255"/>
      <c r="S30" s="255"/>
      <c r="T30" s="255"/>
      <c r="U30" s="255"/>
      <c r="V30" s="255"/>
      <c r="W30" s="255"/>
      <c r="X30" s="255"/>
      <c r="Y30" s="255"/>
      <c r="Z30" s="255"/>
      <c r="AA30" s="255"/>
      <c r="AB30" s="255"/>
    </row>
    <row r="31" spans="1:28" x14ac:dyDescent="0.3">
      <c r="A31" s="10"/>
      <c r="D31" s="13"/>
      <c r="E31" s="186"/>
      <c r="G31" s="252"/>
      <c r="H31" s="252"/>
      <c r="I31" s="252"/>
      <c r="J31" s="252"/>
      <c r="K31" s="252"/>
      <c r="L31" s="252"/>
      <c r="M31" s="252"/>
      <c r="N31" s="252"/>
      <c r="O31" s="252"/>
      <c r="P31" s="252"/>
      <c r="Q31" s="252"/>
      <c r="R31" s="255"/>
      <c r="S31" s="255"/>
      <c r="T31" s="255"/>
      <c r="U31" s="255"/>
      <c r="V31" s="255"/>
      <c r="W31" s="255"/>
      <c r="X31" s="255"/>
      <c r="Y31" s="255"/>
      <c r="Z31" s="255"/>
      <c r="AA31" s="255"/>
      <c r="AB31" s="255"/>
    </row>
    <row r="32" spans="1:28" ht="152.1" customHeight="1" x14ac:dyDescent="0.3">
      <c r="D32" s="13"/>
      <c r="E32" s="186"/>
      <c r="G32" s="99"/>
      <c r="H32" s="99"/>
      <c r="I32" s="99"/>
      <c r="J32" s="99"/>
      <c r="K32" s="99"/>
      <c r="L32" s="99"/>
      <c r="M32" s="99"/>
      <c r="N32" s="99"/>
      <c r="O32" s="99"/>
      <c r="P32" s="99"/>
      <c r="Q32" s="99"/>
      <c r="R32" s="99"/>
      <c r="S32" s="99"/>
      <c r="T32" s="99"/>
      <c r="U32" s="99"/>
      <c r="V32" s="99"/>
      <c r="W32" s="99"/>
      <c r="X32" s="99"/>
      <c r="Y32" s="99"/>
      <c r="Z32" s="99"/>
      <c r="AA32" s="99"/>
      <c r="AB32" s="99"/>
    </row>
    <row r="33" spans="1:28" ht="27.75" customHeight="1" x14ac:dyDescent="0.3">
      <c r="A33" s="305" t="s">
        <v>180</v>
      </c>
      <c r="B33" s="305"/>
      <c r="C33" s="305"/>
      <c r="D33" s="305"/>
      <c r="E33" s="305"/>
      <c r="F33" s="305"/>
      <c r="G33" s="305"/>
      <c r="H33" s="201"/>
      <c r="I33" s="201"/>
      <c r="J33" s="201"/>
      <c r="K33" s="201"/>
      <c r="L33" s="201"/>
      <c r="M33" s="201"/>
      <c r="N33" s="201"/>
      <c r="O33" s="201"/>
      <c r="P33" s="201"/>
      <c r="Q33" s="201"/>
      <c r="R33" s="201"/>
      <c r="S33" s="201"/>
      <c r="T33" s="201"/>
      <c r="U33" s="201"/>
      <c r="V33" s="201"/>
      <c r="W33" s="201"/>
      <c r="X33" s="201"/>
      <c r="Y33" s="201"/>
      <c r="Z33" s="201"/>
      <c r="AA33" s="201"/>
      <c r="AB33" s="1" t="s">
        <v>181</v>
      </c>
    </row>
    <row r="34" spans="1:28" ht="7.35" customHeight="1" x14ac:dyDescent="0.3"/>
    <row r="35" spans="1:28" x14ac:dyDescent="0.3">
      <c r="D35" s="14"/>
      <c r="E35" s="28"/>
      <c r="G35" s="27"/>
      <c r="H35" s="27"/>
      <c r="I35" s="27"/>
      <c r="J35" s="27"/>
      <c r="K35" s="27"/>
      <c r="L35" s="27"/>
      <c r="M35" s="27"/>
      <c r="N35" s="27"/>
      <c r="O35" s="27"/>
      <c r="P35" s="27"/>
      <c r="Q35" s="27"/>
      <c r="R35" s="27"/>
      <c r="S35" s="27"/>
      <c r="T35" s="27"/>
      <c r="U35" s="27"/>
      <c r="V35" s="27"/>
      <c r="W35" s="27"/>
      <c r="X35" s="27"/>
      <c r="Y35" s="27"/>
      <c r="Z35" s="27"/>
      <c r="AA35" s="27"/>
      <c r="AB35" s="27"/>
    </row>
    <row r="36" spans="1:28" x14ac:dyDescent="0.3">
      <c r="D36" s="14"/>
      <c r="E36" s="28"/>
      <c r="H36" s="27"/>
      <c r="I36" s="27"/>
      <c r="J36" s="27"/>
      <c r="K36" s="27"/>
      <c r="L36" s="27"/>
      <c r="M36" s="27"/>
      <c r="N36" s="27"/>
      <c r="O36" s="27"/>
      <c r="P36" s="27"/>
      <c r="Q36" s="27"/>
      <c r="R36" s="27"/>
      <c r="S36" s="27"/>
      <c r="T36" s="27"/>
      <c r="U36" s="27"/>
      <c r="V36" s="27"/>
      <c r="W36" s="27"/>
      <c r="X36" s="27"/>
      <c r="Y36" s="27"/>
      <c r="Z36" s="27"/>
      <c r="AA36" s="27"/>
      <c r="AB36" s="27"/>
    </row>
    <row r="37" spans="1:28" x14ac:dyDescent="0.3">
      <c r="D37" s="14"/>
      <c r="E37" s="28"/>
      <c r="H37" s="27"/>
      <c r="I37" s="27"/>
      <c r="J37" s="27"/>
      <c r="K37" s="27"/>
      <c r="L37" s="27"/>
      <c r="M37" s="27"/>
      <c r="N37" s="27"/>
      <c r="O37" s="27"/>
      <c r="P37" s="27"/>
      <c r="Q37" s="27"/>
      <c r="R37" s="27"/>
      <c r="S37" s="27"/>
      <c r="T37" s="27"/>
      <c r="U37" s="27"/>
      <c r="V37" s="27"/>
      <c r="W37" s="27"/>
      <c r="X37" s="27"/>
      <c r="Y37" s="27"/>
      <c r="Z37" s="27"/>
      <c r="AA37" s="27"/>
      <c r="AB37" s="27"/>
    </row>
    <row r="38" spans="1:28" x14ac:dyDescent="0.3">
      <c r="D38" s="14"/>
      <c r="E38" s="28"/>
      <c r="H38" s="27"/>
      <c r="I38" s="27"/>
      <c r="J38" s="27"/>
      <c r="K38" s="27"/>
      <c r="L38" s="27"/>
      <c r="M38" s="27"/>
      <c r="N38" s="27"/>
      <c r="O38" s="27"/>
      <c r="P38" s="27"/>
      <c r="Q38" s="27"/>
      <c r="R38" s="27"/>
      <c r="S38" s="27"/>
      <c r="T38" s="27"/>
      <c r="U38" s="27"/>
      <c r="V38" s="27"/>
      <c r="W38" s="27"/>
      <c r="X38" s="27"/>
      <c r="Y38" s="27"/>
      <c r="Z38" s="27"/>
      <c r="AA38" s="27"/>
      <c r="AB38" s="27"/>
    </row>
    <row r="39" spans="1:28" x14ac:dyDescent="0.3">
      <c r="D39" s="14"/>
      <c r="E39" s="28"/>
      <c r="G39" s="27"/>
      <c r="H39" s="27"/>
      <c r="I39" s="27"/>
      <c r="J39" s="27"/>
      <c r="K39" s="27"/>
      <c r="L39" s="27"/>
      <c r="M39" s="27"/>
      <c r="N39" s="27"/>
      <c r="O39" s="27"/>
      <c r="P39" s="27"/>
      <c r="Q39" s="27"/>
      <c r="R39" s="27"/>
      <c r="S39" s="27"/>
      <c r="T39" s="27"/>
      <c r="U39" s="27"/>
      <c r="V39" s="27"/>
      <c r="W39" s="27"/>
      <c r="X39" s="27"/>
      <c r="Y39" s="27"/>
      <c r="Z39" s="27"/>
      <c r="AA39" s="27"/>
      <c r="AB39" s="27"/>
    </row>
    <row r="40" spans="1:28" x14ac:dyDescent="0.3">
      <c r="D40" s="14"/>
      <c r="E40" s="28"/>
      <c r="G40" s="27"/>
      <c r="H40" s="27"/>
      <c r="I40" s="27"/>
      <c r="J40" s="27"/>
      <c r="K40" s="27"/>
      <c r="L40" s="27"/>
      <c r="M40" s="27"/>
      <c r="N40" s="27"/>
      <c r="O40" s="27"/>
      <c r="P40" s="27"/>
      <c r="Q40" s="27"/>
      <c r="R40" s="27"/>
      <c r="S40" s="27"/>
      <c r="T40" s="27"/>
      <c r="U40" s="27"/>
      <c r="V40" s="27"/>
      <c r="W40" s="27"/>
      <c r="X40" s="27"/>
      <c r="Y40" s="27"/>
      <c r="Z40" s="27"/>
      <c r="AA40" s="27"/>
      <c r="AB40" s="27"/>
    </row>
    <row r="41" spans="1:28" x14ac:dyDescent="0.3">
      <c r="D41" s="14"/>
      <c r="E41" s="28"/>
      <c r="G41" s="27"/>
      <c r="H41" s="27"/>
      <c r="I41" s="27"/>
      <c r="J41" s="27"/>
      <c r="K41" s="27"/>
      <c r="L41" s="27"/>
      <c r="M41" s="27"/>
      <c r="N41" s="27"/>
      <c r="O41" s="27"/>
      <c r="P41" s="27"/>
      <c r="Q41" s="27"/>
      <c r="R41" s="27"/>
      <c r="S41" s="27"/>
      <c r="T41" s="27"/>
      <c r="U41" s="27"/>
      <c r="V41" s="27"/>
      <c r="W41" s="27"/>
      <c r="X41" s="27"/>
      <c r="Y41" s="27"/>
      <c r="Z41" s="27"/>
      <c r="AA41" s="27"/>
      <c r="AB41" s="27"/>
    </row>
    <row r="42" spans="1:28" x14ac:dyDescent="0.3">
      <c r="D42" s="14"/>
      <c r="E42" s="28"/>
      <c r="G42" s="27"/>
      <c r="H42" s="27"/>
      <c r="I42" s="27"/>
      <c r="J42" s="27"/>
      <c r="K42" s="27"/>
      <c r="L42" s="27"/>
      <c r="M42" s="27"/>
      <c r="N42" s="27"/>
      <c r="O42" s="27"/>
      <c r="P42" s="27"/>
      <c r="Q42" s="27"/>
      <c r="R42" s="27"/>
      <c r="S42" s="27"/>
      <c r="T42" s="27"/>
      <c r="U42" s="27"/>
      <c r="V42" s="27"/>
      <c r="W42" s="27"/>
      <c r="X42" s="27"/>
      <c r="Y42" s="27"/>
      <c r="Z42" s="27"/>
      <c r="AA42" s="27"/>
      <c r="AB42" s="27"/>
    </row>
    <row r="43" spans="1:28" x14ac:dyDescent="0.3">
      <c r="D43" s="14"/>
      <c r="E43" s="28"/>
      <c r="G43" s="27"/>
      <c r="H43" s="27"/>
      <c r="I43" s="27"/>
      <c r="J43" s="27"/>
      <c r="K43" s="27"/>
      <c r="L43" s="27"/>
      <c r="M43" s="27"/>
      <c r="N43" s="27"/>
      <c r="O43" s="27"/>
      <c r="P43" s="27"/>
      <c r="Q43" s="27"/>
      <c r="R43" s="27"/>
      <c r="S43" s="27"/>
      <c r="T43" s="27"/>
      <c r="U43" s="27"/>
      <c r="V43" s="27"/>
      <c r="W43" s="27"/>
      <c r="X43" s="27"/>
      <c r="Y43" s="27"/>
      <c r="Z43" s="27"/>
      <c r="AA43" s="27"/>
      <c r="AB43" s="27"/>
    </row>
    <row r="44" spans="1:28" x14ac:dyDescent="0.3">
      <c r="D44" s="14"/>
      <c r="E44" s="28"/>
      <c r="G44" s="27"/>
      <c r="H44" s="27"/>
      <c r="I44" s="27"/>
      <c r="J44" s="27"/>
      <c r="K44" s="27"/>
      <c r="L44" s="27"/>
      <c r="M44" s="27"/>
      <c r="N44" s="27"/>
      <c r="O44" s="27"/>
      <c r="P44" s="27"/>
      <c r="Q44" s="27"/>
      <c r="R44" s="27"/>
      <c r="S44" s="27"/>
      <c r="T44" s="27"/>
      <c r="U44" s="27"/>
      <c r="V44" s="27"/>
      <c r="W44" s="27"/>
      <c r="X44" s="27"/>
      <c r="Y44" s="27"/>
      <c r="Z44" s="27"/>
      <c r="AA44" s="27"/>
      <c r="AB44" s="27"/>
    </row>
    <row r="45" spans="1:28" x14ac:dyDescent="0.3">
      <c r="D45" s="14"/>
      <c r="E45" s="28"/>
      <c r="G45" s="27"/>
      <c r="H45" s="27"/>
      <c r="I45" s="27"/>
      <c r="J45" s="27"/>
      <c r="K45" s="27"/>
      <c r="L45" s="27"/>
      <c r="M45" s="27"/>
      <c r="N45" s="27"/>
      <c r="O45" s="27"/>
      <c r="P45" s="27"/>
      <c r="Q45" s="27"/>
      <c r="R45" s="27"/>
      <c r="S45" s="27"/>
      <c r="T45" s="27"/>
      <c r="U45" s="27"/>
      <c r="V45" s="27"/>
      <c r="W45" s="27"/>
      <c r="X45" s="27"/>
      <c r="Y45" s="27"/>
      <c r="Z45" s="27"/>
      <c r="AA45" s="27"/>
      <c r="AB45" s="27"/>
    </row>
    <row r="46" spans="1:28" x14ac:dyDescent="0.3">
      <c r="D46" s="14"/>
      <c r="E46" s="28"/>
      <c r="G46" s="27"/>
      <c r="H46" s="27"/>
      <c r="I46" s="27"/>
      <c r="J46" s="27"/>
      <c r="K46" s="27"/>
      <c r="L46" s="27"/>
      <c r="M46" s="27"/>
      <c r="N46" s="27"/>
      <c r="O46" s="27"/>
      <c r="P46" s="27"/>
      <c r="Q46" s="27"/>
      <c r="R46" s="27"/>
      <c r="S46" s="27"/>
      <c r="T46" s="27"/>
      <c r="U46" s="27"/>
      <c r="V46" s="27"/>
      <c r="W46" s="27"/>
      <c r="X46" s="27"/>
      <c r="Y46" s="27"/>
      <c r="Z46" s="27"/>
      <c r="AA46" s="27"/>
      <c r="AB46" s="27"/>
    </row>
    <row r="47" spans="1:28" x14ac:dyDescent="0.3">
      <c r="D47" s="14"/>
      <c r="E47" s="28"/>
      <c r="G47" s="27"/>
      <c r="H47" s="27"/>
      <c r="I47" s="27"/>
      <c r="J47" s="27"/>
      <c r="K47" s="27"/>
      <c r="L47" s="27"/>
      <c r="M47" s="27"/>
      <c r="N47" s="27"/>
      <c r="O47" s="27"/>
      <c r="P47" s="27"/>
      <c r="Q47" s="27"/>
      <c r="R47" s="27"/>
      <c r="S47" s="27"/>
      <c r="T47" s="27"/>
      <c r="U47" s="27"/>
      <c r="V47" s="27"/>
      <c r="W47" s="27"/>
      <c r="X47" s="27"/>
      <c r="Y47" s="27"/>
      <c r="Z47" s="27"/>
      <c r="AA47" s="27"/>
      <c r="AB47" s="27"/>
    </row>
    <row r="48" spans="1:28" x14ac:dyDescent="0.3">
      <c r="D48" s="14"/>
      <c r="E48" s="28"/>
      <c r="G48" s="27"/>
      <c r="H48" s="27"/>
      <c r="I48" s="27"/>
      <c r="J48" s="27"/>
      <c r="K48" s="27"/>
      <c r="L48" s="27"/>
      <c r="M48" s="27"/>
      <c r="N48" s="27"/>
      <c r="O48" s="27"/>
      <c r="P48" s="27"/>
      <c r="Q48" s="27"/>
      <c r="R48" s="27"/>
      <c r="S48" s="27"/>
      <c r="T48" s="27"/>
      <c r="U48" s="27"/>
      <c r="V48" s="27"/>
      <c r="W48" s="27"/>
      <c r="X48" s="27"/>
      <c r="Y48" s="27"/>
      <c r="Z48" s="27"/>
      <c r="AA48" s="27"/>
      <c r="AB48" s="27"/>
    </row>
    <row r="49" spans="1:28" x14ac:dyDescent="0.3">
      <c r="D49" s="14"/>
      <c r="E49" s="28"/>
      <c r="G49" s="27"/>
      <c r="H49" s="27"/>
      <c r="I49" s="27"/>
      <c r="J49" s="27"/>
      <c r="K49" s="27"/>
      <c r="L49" s="27"/>
      <c r="M49" s="27"/>
      <c r="N49" s="27"/>
      <c r="O49" s="27"/>
      <c r="P49" s="27"/>
      <c r="Q49" s="27"/>
      <c r="R49" s="27"/>
      <c r="S49" s="27"/>
      <c r="T49" s="27"/>
      <c r="U49" s="27"/>
      <c r="V49" s="27"/>
      <c r="W49" s="27"/>
      <c r="X49" s="27"/>
      <c r="Y49" s="27"/>
      <c r="Z49" s="27"/>
      <c r="AA49" s="27"/>
      <c r="AB49" s="27"/>
    </row>
    <row r="50" spans="1:28" x14ac:dyDescent="0.3">
      <c r="D50" s="14"/>
      <c r="E50" s="28"/>
      <c r="G50" s="27"/>
      <c r="H50" s="27"/>
      <c r="I50" s="27"/>
      <c r="J50" s="27"/>
      <c r="K50" s="27"/>
      <c r="L50" s="27"/>
      <c r="M50" s="27"/>
      <c r="N50" s="27"/>
      <c r="O50" s="27"/>
      <c r="P50" s="27"/>
      <c r="Q50" s="27"/>
      <c r="R50" s="27"/>
      <c r="S50" s="27"/>
      <c r="T50" s="27"/>
      <c r="U50" s="27"/>
      <c r="V50" s="27"/>
      <c r="W50" s="27"/>
      <c r="X50" s="27"/>
      <c r="Y50" s="27"/>
      <c r="Z50" s="27"/>
      <c r="AA50" s="27"/>
      <c r="AB50" s="27"/>
    </row>
    <row r="51" spans="1:28" x14ac:dyDescent="0.3">
      <c r="D51" s="14"/>
      <c r="E51" s="28"/>
      <c r="G51" s="27"/>
      <c r="H51" s="27"/>
      <c r="I51" s="27"/>
      <c r="J51" s="27"/>
      <c r="K51" s="27"/>
      <c r="L51" s="27"/>
      <c r="M51" s="27"/>
      <c r="N51" s="27"/>
      <c r="O51" s="27"/>
      <c r="P51" s="27"/>
      <c r="Q51" s="27"/>
      <c r="R51" s="27"/>
      <c r="S51" s="27"/>
      <c r="T51" s="27"/>
      <c r="U51" s="27"/>
      <c r="V51" s="27"/>
      <c r="W51" s="27"/>
      <c r="X51" s="27"/>
      <c r="Y51" s="27"/>
      <c r="Z51" s="27"/>
      <c r="AA51" s="27"/>
      <c r="AB51" s="27"/>
    </row>
    <row r="52" spans="1:28" x14ac:dyDescent="0.3">
      <c r="D52" s="14"/>
      <c r="E52" s="28"/>
      <c r="G52" s="27"/>
      <c r="H52" s="27"/>
      <c r="I52" s="27"/>
      <c r="J52" s="27"/>
      <c r="K52" s="27"/>
      <c r="L52" s="27"/>
      <c r="M52" s="27"/>
      <c r="N52" s="27"/>
      <c r="O52" s="27"/>
      <c r="P52" s="27"/>
      <c r="Q52" s="27"/>
      <c r="R52" s="27"/>
      <c r="S52" s="27"/>
      <c r="T52" s="27"/>
      <c r="U52" s="27"/>
      <c r="V52" s="27"/>
      <c r="W52" s="27"/>
      <c r="X52" s="27"/>
      <c r="Y52" s="27"/>
      <c r="Z52" s="27"/>
      <c r="AA52" s="27"/>
      <c r="AB52" s="27"/>
    </row>
    <row r="53" spans="1:28" x14ac:dyDescent="0.3">
      <c r="D53" s="14"/>
      <c r="E53" s="28"/>
      <c r="G53" s="27"/>
      <c r="H53" s="27"/>
      <c r="I53" s="27"/>
      <c r="J53" s="27"/>
      <c r="K53" s="27"/>
      <c r="L53" s="27"/>
      <c r="M53" s="27"/>
      <c r="N53" s="27"/>
      <c r="O53" s="27"/>
      <c r="P53" s="27"/>
      <c r="Q53" s="27"/>
      <c r="R53" s="27"/>
      <c r="S53" s="27"/>
      <c r="T53" s="27"/>
      <c r="U53" s="27"/>
      <c r="V53" s="27"/>
      <c r="W53" s="27"/>
      <c r="X53" s="27"/>
      <c r="Y53" s="27"/>
      <c r="Z53" s="27"/>
      <c r="AA53" s="27"/>
      <c r="AB53" s="27"/>
    </row>
    <row r="54" spans="1:28" x14ac:dyDescent="0.3">
      <c r="D54" s="14"/>
      <c r="E54" s="28"/>
      <c r="G54" s="27"/>
      <c r="H54" s="27"/>
      <c r="I54" s="27"/>
      <c r="J54" s="27"/>
      <c r="K54" s="27"/>
      <c r="L54" s="27"/>
      <c r="M54" s="27"/>
      <c r="N54" s="27"/>
      <c r="O54" s="27"/>
      <c r="P54" s="27"/>
      <c r="Q54" s="27"/>
      <c r="R54" s="27"/>
      <c r="S54" s="27"/>
      <c r="T54" s="27"/>
      <c r="U54" s="27"/>
      <c r="V54" s="27"/>
      <c r="W54" s="27"/>
      <c r="X54" s="27"/>
      <c r="Y54" s="27"/>
      <c r="Z54" s="27"/>
      <c r="AA54" s="27"/>
      <c r="AB54" s="27"/>
    </row>
    <row r="55" spans="1:28" x14ac:dyDescent="0.3">
      <c r="D55" s="14"/>
      <c r="E55" s="28"/>
      <c r="G55" s="27"/>
      <c r="H55" s="27"/>
      <c r="I55" s="27"/>
      <c r="J55" s="27"/>
      <c r="K55" s="27"/>
      <c r="L55" s="27"/>
      <c r="M55" s="27"/>
      <c r="N55" s="27"/>
      <c r="O55" s="27"/>
      <c r="P55" s="27"/>
      <c r="Q55" s="27"/>
      <c r="R55" s="27"/>
      <c r="S55" s="27"/>
      <c r="T55" s="27"/>
      <c r="U55" s="27"/>
      <c r="V55" s="27"/>
      <c r="W55" s="27"/>
      <c r="X55" s="27"/>
      <c r="Y55" s="27"/>
      <c r="Z55" s="27"/>
      <c r="AA55" s="27"/>
      <c r="AB55" s="27"/>
    </row>
    <row r="58" spans="1:28" x14ac:dyDescent="0.3">
      <c r="A58" s="17"/>
      <c r="C58" s="17"/>
      <c r="D58" s="17"/>
      <c r="E58" s="18"/>
      <c r="F58" s="41"/>
    </row>
    <row r="59" spans="1:28" x14ac:dyDescent="0.3">
      <c r="A59" s="17"/>
      <c r="C59" s="17"/>
      <c r="D59" s="17"/>
      <c r="E59" s="18"/>
      <c r="F59" s="41"/>
    </row>
    <row r="60" spans="1:28" x14ac:dyDescent="0.3">
      <c r="A60" s="17"/>
      <c r="C60" s="17"/>
      <c r="D60" s="17"/>
      <c r="E60" s="18"/>
      <c r="F60" s="41"/>
    </row>
    <row r="61" spans="1:28" x14ac:dyDescent="0.3">
      <c r="A61" s="17"/>
      <c r="C61" s="17"/>
      <c r="D61" s="17"/>
      <c r="E61" s="18"/>
      <c r="F61" s="41"/>
    </row>
    <row r="62" spans="1:28" x14ac:dyDescent="0.3">
      <c r="A62" s="17"/>
      <c r="C62" s="18"/>
      <c r="D62" s="18"/>
      <c r="E62" s="42"/>
      <c r="F62" s="17"/>
    </row>
    <row r="63" spans="1:28" x14ac:dyDescent="0.3">
      <c r="A63" s="17"/>
      <c r="C63" s="18"/>
      <c r="D63" s="42"/>
      <c r="E63" s="17"/>
      <c r="F63" s="42"/>
    </row>
    <row r="64" spans="1:28" x14ac:dyDescent="0.3">
      <c r="A64" s="17"/>
      <c r="C64" s="17"/>
      <c r="D64" s="18"/>
      <c r="E64" s="17"/>
      <c r="F64" s="18"/>
    </row>
    <row r="65" spans="1:6" x14ac:dyDescent="0.3">
      <c r="A65" s="17"/>
      <c r="C65" s="187"/>
      <c r="D65" s="18"/>
      <c r="E65" s="17"/>
      <c r="F65" s="18"/>
    </row>
    <row r="66" spans="1:6" x14ac:dyDescent="0.3">
      <c r="A66" s="17"/>
      <c r="C66" s="187"/>
      <c r="D66" s="18"/>
      <c r="E66" s="17"/>
      <c r="F66" s="18"/>
    </row>
    <row r="67" spans="1:6" x14ac:dyDescent="0.3">
      <c r="A67" s="17"/>
      <c r="C67" s="18"/>
      <c r="D67" s="18"/>
      <c r="E67" s="43"/>
      <c r="F67" s="42"/>
    </row>
    <row r="68" spans="1:6" x14ac:dyDescent="0.3">
      <c r="A68" s="17"/>
      <c r="C68" s="18"/>
      <c r="D68" s="18"/>
      <c r="E68" s="17"/>
      <c r="F68" s="17"/>
    </row>
    <row r="69" spans="1:6" x14ac:dyDescent="0.3">
      <c r="A69" s="17"/>
      <c r="C69" s="18"/>
      <c r="D69" s="18"/>
      <c r="E69" s="17"/>
      <c r="F69" s="17"/>
    </row>
    <row r="70" spans="1:6" x14ac:dyDescent="0.3">
      <c r="A70" s="17"/>
      <c r="C70" s="18"/>
      <c r="D70" s="18"/>
      <c r="E70" s="17"/>
      <c r="F70" s="17"/>
    </row>
    <row r="71" spans="1:6" x14ac:dyDescent="0.3">
      <c r="A71" s="17"/>
      <c r="C71" s="17"/>
      <c r="D71" s="18"/>
      <c r="E71" s="17"/>
      <c r="F71" s="17"/>
    </row>
    <row r="72" spans="1:6" x14ac:dyDescent="0.3">
      <c r="A72" s="17"/>
      <c r="C72" s="17"/>
      <c r="D72" s="17"/>
      <c r="E72" s="17"/>
      <c r="F72" s="17"/>
    </row>
    <row r="73" spans="1:6" x14ac:dyDescent="0.3">
      <c r="A73" s="17"/>
      <c r="C73" s="17"/>
      <c r="D73" s="18"/>
      <c r="E73" s="18"/>
      <c r="F73" s="17"/>
    </row>
    <row r="74" spans="1:6" x14ac:dyDescent="0.3">
      <c r="A74" s="17"/>
      <c r="C74" s="17"/>
      <c r="D74" s="18"/>
      <c r="E74" s="17"/>
      <c r="F74" s="18"/>
    </row>
    <row r="75" spans="1:6" x14ac:dyDescent="0.3">
      <c r="A75" s="17"/>
      <c r="C75" s="17"/>
      <c r="D75" s="18"/>
      <c r="E75" s="17"/>
      <c r="F75" s="18"/>
    </row>
  </sheetData>
  <sheetProtection algorithmName="SHA-512" hashValue="7e8y4JS6z9jvQBpiK7qRBxfehBLhEfORuCSrbNbFfdLuSMmybB8fhMfIpN/TWOqWmqJx+DVhR1MucC3mR9JBLQ==" saltValue="pRLZUTQuDaarRI4oKlheWA==" spinCount="100000" sheet="1" objects="1" selectLockedCells="1"/>
  <dataConsolidate/>
  <mergeCells count="22">
    <mergeCell ref="A33:G33"/>
    <mergeCell ref="H23:AB23"/>
    <mergeCell ref="B9:C9"/>
    <mergeCell ref="M9:AB9"/>
    <mergeCell ref="B11:C11"/>
    <mergeCell ref="M11:AB11"/>
    <mergeCell ref="G17:AB17"/>
    <mergeCell ref="B13:C13"/>
    <mergeCell ref="M13:AB13"/>
    <mergeCell ref="G19:I19"/>
    <mergeCell ref="J19:AB19"/>
    <mergeCell ref="G21:R21"/>
    <mergeCell ref="S21:AB21"/>
    <mergeCell ref="G25:L25"/>
    <mergeCell ref="M25:AB25"/>
    <mergeCell ref="B7:C7"/>
    <mergeCell ref="M7:AB7"/>
    <mergeCell ref="B1:AB1"/>
    <mergeCell ref="B3:C3"/>
    <mergeCell ref="M3:AB3"/>
    <mergeCell ref="B5:C5"/>
    <mergeCell ref="M5:AB5"/>
  </mergeCells>
  <printOptions horizontalCentered="1" verticalCentered="1"/>
  <pageMargins left="0.25" right="0.25" top="0.25" bottom="0.25" header="0" footer="0"/>
  <pageSetup scale="96" orientation="landscape" r:id="rId1"/>
  <drawing r:id="rId2"/>
  <legacyDrawingHF r:id="rId3"/>
  <extLst>
    <ext xmlns:x14="http://schemas.microsoft.com/office/spreadsheetml/2009/9/main" uri="{CCE6A557-97BC-4b89-ADB6-D9C93CAAB3DF}">
      <x14:dataValidations xmlns:xm="http://schemas.microsoft.com/office/excel/2006/main" count="2">
        <x14:dataValidation type="list" allowBlank="1" showInputMessage="1" showErrorMessage="1" promptTitle="Calc Approach Vehicle Time" xr:uid="{00000000-0002-0000-0500-000000000000}">
          <x14:formula1>
            <xm:f>Other!$E$1:$E$2</xm:f>
          </x14:formula1>
          <xm:sqref>E17</xm:sqref>
        </x14:dataValidation>
        <x14:dataValidation type="list" allowBlank="1" showInputMessage="1" showErrorMessage="1" promptTitle="Calc Conflicting Vehicle Time" xr:uid="{00000000-0002-0000-0500-000001000000}">
          <x14:formula1>
            <xm:f>Other!$E$1:$E$2</xm:f>
          </x14:formula1>
          <xm:sqref>E24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B76"/>
  <sheetViews>
    <sheetView showGridLines="0" view="pageLayout" zoomScale="80" zoomScaleNormal="90" zoomScaleSheetLayoutView="100" zoomScalePageLayoutView="80" workbookViewId="0">
      <selection activeCell="E18" sqref="E18"/>
    </sheetView>
  </sheetViews>
  <sheetFormatPr defaultColWidth="9.109375" defaultRowHeight="14.4" x14ac:dyDescent="0.3"/>
  <cols>
    <col min="1" max="1" width="21.5546875" customWidth="1"/>
    <col min="2" max="2" width="12.6640625" customWidth="1"/>
    <col min="3" max="3" width="16.6640625" customWidth="1"/>
    <col min="4" max="4" width="10" customWidth="1"/>
    <col min="5" max="5" width="10.109375" customWidth="1"/>
    <col min="6" max="6" width="2.33203125" customWidth="1"/>
    <col min="7" max="7" width="10.44140625" customWidth="1"/>
    <col min="8" max="9" width="2.109375" customWidth="1"/>
    <col min="10" max="10" width="5.6640625" customWidth="1"/>
    <col min="11" max="27" width="2.33203125" customWidth="1"/>
    <col min="28" max="28" width="1.33203125" customWidth="1"/>
  </cols>
  <sheetData>
    <row r="1" spans="1:28" ht="39" customHeight="1" x14ac:dyDescent="0.3">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183" t="s">
        <v>615</v>
      </c>
    </row>
    <row r="3" spans="1:28" x14ac:dyDescent="0.3">
      <c r="A3" s="1" t="s">
        <v>0</v>
      </c>
      <c r="B3" s="328" t="str">
        <f>IF(PreemptionForm!B5=0,"",PreemptionForm!B5)</f>
        <v/>
      </c>
      <c r="C3" s="328"/>
      <c r="L3" s="1" t="s">
        <v>2</v>
      </c>
      <c r="M3" s="329" t="str">
        <f>IF(PreemptionForm!O5=0,"",PreemptionForm!O5)</f>
        <v/>
      </c>
      <c r="N3" s="329"/>
      <c r="O3" s="329"/>
      <c r="P3" s="329"/>
      <c r="Q3" s="329"/>
      <c r="R3" s="329"/>
      <c r="S3" s="329"/>
      <c r="T3" s="329"/>
      <c r="U3" s="329"/>
      <c r="V3" s="329"/>
      <c r="W3" s="329"/>
      <c r="X3" s="329"/>
      <c r="Y3" s="329"/>
      <c r="Z3" s="329"/>
      <c r="AA3" s="329"/>
      <c r="AB3" s="329"/>
    </row>
    <row r="4" spans="1:28" ht="7.35" customHeight="1" x14ac:dyDescent="0.3">
      <c r="A4" s="1"/>
      <c r="B4" s="2"/>
      <c r="C4" s="2"/>
      <c r="E4" s="1"/>
      <c r="F4" s="2"/>
      <c r="G4" s="2"/>
      <c r="H4" s="2"/>
      <c r="I4" s="2"/>
      <c r="J4" s="2"/>
      <c r="K4" s="2"/>
      <c r="L4" s="2"/>
      <c r="M4" s="2"/>
      <c r="N4" s="2"/>
      <c r="O4" s="2"/>
      <c r="P4" s="2"/>
      <c r="Q4" s="2"/>
      <c r="R4" s="2"/>
      <c r="S4" s="2"/>
      <c r="T4" s="2"/>
      <c r="U4" s="2"/>
      <c r="V4" s="2"/>
      <c r="W4" s="2"/>
      <c r="X4" s="2"/>
      <c r="Y4" s="2"/>
      <c r="Z4" s="2"/>
      <c r="AA4" s="2"/>
      <c r="AB4" s="2"/>
    </row>
    <row r="5" spans="1:28" x14ac:dyDescent="0.3">
      <c r="A5" s="1" t="s">
        <v>1</v>
      </c>
      <c r="B5" s="328" t="str">
        <f>IF(PreemptionForm!B7=0,"",PreemptionForm!B7)</f>
        <v/>
      </c>
      <c r="C5" s="328"/>
      <c r="L5" s="1" t="s">
        <v>3</v>
      </c>
      <c r="M5" s="328" t="str">
        <f>IF(PreemptionForm!O7=0,"",PreemptionForm!O7)</f>
        <v/>
      </c>
      <c r="N5" s="328"/>
      <c r="O5" s="328"/>
      <c r="P5" s="328"/>
      <c r="Q5" s="328"/>
      <c r="R5" s="328"/>
      <c r="S5" s="328"/>
      <c r="T5" s="328"/>
      <c r="U5" s="328"/>
      <c r="V5" s="328"/>
      <c r="W5" s="328"/>
      <c r="X5" s="328"/>
      <c r="Y5" s="328"/>
      <c r="Z5" s="328"/>
      <c r="AA5" s="328"/>
      <c r="AB5" s="328"/>
    </row>
    <row r="6" spans="1:28" ht="7.35" customHeight="1" x14ac:dyDescent="0.3">
      <c r="A6" s="1"/>
      <c r="B6" s="2"/>
      <c r="C6" s="2"/>
      <c r="E6" s="1"/>
      <c r="F6" s="2"/>
      <c r="G6" s="2"/>
      <c r="H6" s="2"/>
      <c r="I6" s="2"/>
      <c r="J6" s="2"/>
      <c r="K6" s="2"/>
      <c r="L6" s="2"/>
      <c r="M6" s="2"/>
      <c r="N6" s="2"/>
      <c r="O6" s="2"/>
      <c r="P6" s="2"/>
      <c r="Q6" s="2"/>
      <c r="R6" s="2"/>
      <c r="S6" s="2"/>
      <c r="T6" s="2"/>
      <c r="U6" s="2"/>
      <c r="V6" s="2"/>
      <c r="W6" s="2"/>
      <c r="X6" s="2"/>
      <c r="Y6" s="2"/>
      <c r="Z6" s="2"/>
      <c r="AA6" s="2"/>
      <c r="AB6" s="2"/>
    </row>
    <row r="7" spans="1:28" ht="15" customHeight="1" x14ac:dyDescent="0.3">
      <c r="A7" s="1" t="s">
        <v>54</v>
      </c>
      <c r="B7" s="328" t="str">
        <f>IF(PreemptionForm!B9=0,"",PreemptionForm!B9)</f>
        <v/>
      </c>
      <c r="C7" s="328"/>
      <c r="E7" s="1"/>
      <c r="F7" s="2"/>
      <c r="G7" s="2"/>
      <c r="H7" s="2"/>
      <c r="I7" s="2"/>
      <c r="J7" s="2"/>
      <c r="K7" s="2"/>
      <c r="L7" s="1" t="s">
        <v>55</v>
      </c>
      <c r="M7" s="328" t="str">
        <f>IF(PreemptionForm!O9=0,"",PreemptionForm!O9)</f>
        <v/>
      </c>
      <c r="N7" s="328"/>
      <c r="O7" s="328"/>
      <c r="P7" s="328"/>
      <c r="Q7" s="328"/>
      <c r="R7" s="328"/>
      <c r="S7" s="328"/>
      <c r="T7" s="328"/>
      <c r="U7" s="328"/>
      <c r="V7" s="328"/>
      <c r="W7" s="328"/>
      <c r="X7" s="328"/>
      <c r="Y7" s="328"/>
      <c r="Z7" s="328"/>
      <c r="AA7" s="328"/>
      <c r="AB7" s="328"/>
    </row>
    <row r="8" spans="1:28" ht="6.6" customHeight="1" x14ac:dyDescent="0.3">
      <c r="A8" s="1"/>
      <c r="B8" s="2"/>
      <c r="C8" s="2"/>
      <c r="E8" s="1"/>
      <c r="F8" s="2"/>
      <c r="G8" s="2"/>
      <c r="H8" s="2"/>
      <c r="I8" s="2"/>
      <c r="J8" s="2"/>
      <c r="K8" s="2"/>
      <c r="L8" s="1"/>
      <c r="M8" s="1"/>
      <c r="N8" s="1"/>
      <c r="O8" s="1"/>
      <c r="P8" s="1"/>
      <c r="Q8" s="1"/>
      <c r="R8" s="1"/>
      <c r="S8" s="1"/>
      <c r="T8" s="1"/>
      <c r="U8" s="1"/>
      <c r="V8" s="1"/>
      <c r="W8" s="1"/>
      <c r="X8" s="1"/>
      <c r="Y8" s="1"/>
      <c r="Z8" s="1"/>
      <c r="AA8" s="1"/>
      <c r="AB8" s="1"/>
    </row>
    <row r="9" spans="1:28" ht="15" customHeight="1" x14ac:dyDescent="0.3">
      <c r="A9" s="1" t="s">
        <v>66</v>
      </c>
      <c r="B9" s="328" t="str">
        <f>IF(PreemptionForm!B11=0,"",PreemptionForm!B11)</f>
        <v/>
      </c>
      <c r="C9" s="328"/>
      <c r="E9" s="1"/>
      <c r="F9" s="2"/>
      <c r="G9" s="2"/>
      <c r="H9" s="2"/>
      <c r="I9" s="2"/>
      <c r="J9" s="2"/>
      <c r="K9" s="2"/>
      <c r="L9" s="1" t="s">
        <v>4</v>
      </c>
      <c r="M9" s="328" t="str">
        <f>IF(PreemptionForm!O11=0,"",PreemptionForm!O11)</f>
        <v/>
      </c>
      <c r="N9" s="328"/>
      <c r="O9" s="328"/>
      <c r="P9" s="328"/>
      <c r="Q9" s="328"/>
      <c r="R9" s="328"/>
      <c r="S9" s="328"/>
      <c r="T9" s="328"/>
      <c r="U9" s="328"/>
      <c r="V9" s="328"/>
      <c r="W9" s="328"/>
      <c r="X9" s="328"/>
      <c r="Y9" s="328"/>
      <c r="Z9" s="328"/>
      <c r="AA9" s="328"/>
      <c r="AB9" s="328"/>
    </row>
    <row r="10" spans="1:28" ht="5.85" customHeight="1" x14ac:dyDescent="0.3">
      <c r="A10" s="1"/>
      <c r="B10" s="2"/>
      <c r="C10" s="2"/>
      <c r="E10" s="1"/>
      <c r="F10" s="2"/>
      <c r="G10" s="2"/>
      <c r="H10" s="2"/>
      <c r="I10" s="2"/>
      <c r="J10" s="2"/>
      <c r="K10" s="2"/>
      <c r="L10" s="1"/>
      <c r="M10" s="1"/>
      <c r="N10" s="1"/>
      <c r="O10" s="1"/>
      <c r="P10" s="1"/>
      <c r="Q10" s="1"/>
      <c r="R10" s="1"/>
      <c r="S10" s="1"/>
      <c r="T10" s="1"/>
      <c r="U10" s="1"/>
      <c r="V10" s="1"/>
      <c r="W10" s="1"/>
      <c r="X10" s="1"/>
      <c r="Y10" s="1"/>
      <c r="Z10" s="1"/>
      <c r="AA10" s="1"/>
      <c r="AB10" s="1"/>
    </row>
    <row r="11" spans="1:28" ht="15" customHeight="1" x14ac:dyDescent="0.3">
      <c r="A11" s="1" t="s">
        <v>65</v>
      </c>
      <c r="B11" s="328" t="str">
        <f>IF(PreemptionForm!B13=0,"",PreemptionForm!B13)</f>
        <v/>
      </c>
      <c r="C11" s="328"/>
      <c r="E11" s="1"/>
      <c r="F11" s="2"/>
      <c r="G11" s="2"/>
      <c r="H11" s="2"/>
      <c r="I11" s="2"/>
      <c r="J11" s="2"/>
      <c r="K11" s="2"/>
      <c r="L11" s="1" t="s">
        <v>595</v>
      </c>
      <c r="M11" s="328" t="str">
        <f>IF(PreemptionForm!O13=0,"",PreemptionForm!O13)</f>
        <v/>
      </c>
      <c r="N11" s="328"/>
      <c r="O11" s="328"/>
      <c r="P11" s="328"/>
      <c r="Q11" s="328"/>
      <c r="R11" s="328"/>
      <c r="S11" s="328"/>
      <c r="T11" s="328"/>
      <c r="U11" s="328"/>
      <c r="V11" s="328"/>
      <c r="W11" s="328"/>
      <c r="X11" s="328"/>
      <c r="Y11" s="328"/>
      <c r="Z11" s="328"/>
      <c r="AA11" s="328"/>
      <c r="AB11" s="328"/>
    </row>
    <row r="12" spans="1:28" ht="7.35" customHeight="1" x14ac:dyDescent="0.3">
      <c r="A12" s="1"/>
      <c r="B12" s="2"/>
      <c r="C12" s="2"/>
      <c r="E12" s="1"/>
      <c r="F12" s="2"/>
      <c r="G12" s="2"/>
      <c r="H12" s="2"/>
      <c r="I12" s="2"/>
      <c r="J12" s="2"/>
      <c r="K12" s="2"/>
      <c r="L12" s="1"/>
      <c r="M12" s="2"/>
      <c r="N12" s="2"/>
      <c r="O12" s="2"/>
      <c r="P12" s="2"/>
      <c r="Q12" s="2"/>
      <c r="R12" s="2"/>
      <c r="S12" s="2"/>
      <c r="T12" s="2"/>
      <c r="U12" s="2"/>
      <c r="V12" s="2"/>
      <c r="W12" s="2"/>
      <c r="X12" s="2"/>
      <c r="Y12" s="2"/>
      <c r="Z12" s="2"/>
      <c r="AA12" s="2"/>
      <c r="AB12" s="2"/>
    </row>
    <row r="13" spans="1:28" ht="15" customHeight="1" x14ac:dyDescent="0.3">
      <c r="A13" s="1" t="s">
        <v>611</v>
      </c>
      <c r="B13" s="328" t="str">
        <f>IF(PreemptionForm!B15=0,"",PreemptionForm!B15)</f>
        <v/>
      </c>
      <c r="C13" s="328"/>
      <c r="D13" s="290"/>
      <c r="E13" s="1"/>
      <c r="F13" s="2"/>
      <c r="G13" s="2"/>
      <c r="H13" s="2"/>
      <c r="I13" s="2"/>
      <c r="J13" s="2"/>
      <c r="K13" s="2"/>
      <c r="L13" s="1" t="s">
        <v>50</v>
      </c>
      <c r="M13" s="328" t="str">
        <f>IF(PreemptionForm!O15=0,"",PreemptionForm!O15)</f>
        <v/>
      </c>
      <c r="N13" s="328"/>
      <c r="O13" s="328"/>
      <c r="P13" s="328"/>
      <c r="Q13" s="328"/>
      <c r="R13" s="328"/>
      <c r="S13" s="328"/>
      <c r="T13" s="328"/>
      <c r="U13" s="328"/>
      <c r="V13" s="328"/>
      <c r="W13" s="328"/>
      <c r="X13" s="328"/>
      <c r="Y13" s="328"/>
      <c r="Z13" s="328"/>
      <c r="AA13" s="328"/>
      <c r="AB13" s="328"/>
    </row>
    <row r="14" spans="1:28" ht="15" customHeight="1" x14ac:dyDescent="0.3">
      <c r="A14" s="1"/>
      <c r="B14" s="2"/>
      <c r="C14" s="2"/>
      <c r="E14" s="1"/>
      <c r="F14" s="2"/>
      <c r="G14" s="2"/>
      <c r="H14" s="2"/>
      <c r="I14" s="2"/>
      <c r="J14" s="2"/>
      <c r="K14" s="2"/>
      <c r="L14" s="1"/>
      <c r="M14" s="2"/>
      <c r="N14" s="2"/>
      <c r="O14" s="2"/>
      <c r="P14" s="2"/>
      <c r="Q14" s="2"/>
      <c r="R14" s="2"/>
      <c r="S14" s="2"/>
      <c r="T14" s="2"/>
      <c r="U14" s="2"/>
      <c r="V14" s="2"/>
      <c r="W14" s="2"/>
      <c r="X14" s="2"/>
      <c r="Y14" s="2"/>
      <c r="Z14" s="2"/>
      <c r="AA14" s="2"/>
      <c r="AB14" s="2"/>
    </row>
    <row r="15" spans="1:28" ht="15" customHeight="1" x14ac:dyDescent="0.3">
      <c r="A15" s="218" t="s">
        <v>632</v>
      </c>
    </row>
    <row r="16" spans="1:28" ht="6.6" customHeight="1" x14ac:dyDescent="0.3"/>
    <row r="17" spans="1:28" x14ac:dyDescent="0.3">
      <c r="A17" s="258" t="s">
        <v>31</v>
      </c>
      <c r="G17" s="10" t="s">
        <v>24</v>
      </c>
      <c r="H17" s="10"/>
      <c r="I17" s="10"/>
    </row>
    <row r="18" spans="1:28" x14ac:dyDescent="0.3">
      <c r="D18" s="13" t="s">
        <v>625</v>
      </c>
      <c r="E18" s="24" t="s">
        <v>23</v>
      </c>
      <c r="G18" s="292"/>
      <c r="H18" s="292"/>
      <c r="I18" s="292"/>
      <c r="J18" s="292"/>
      <c r="K18" s="292"/>
      <c r="L18" s="292"/>
      <c r="M18" s="292"/>
      <c r="N18" s="292"/>
      <c r="O18" s="292"/>
      <c r="P18" s="292"/>
      <c r="Q18" s="292"/>
      <c r="R18" s="292"/>
      <c r="S18" s="292"/>
      <c r="T18" s="292"/>
      <c r="U18" s="292"/>
      <c r="V18" s="292"/>
      <c r="W18" s="292"/>
      <c r="X18" s="292"/>
      <c r="Y18" s="292"/>
      <c r="Z18" s="292"/>
      <c r="AA18" s="292"/>
      <c r="AB18" s="292"/>
    </row>
    <row r="19" spans="1:28" ht="9.9" customHeight="1" x14ac:dyDescent="0.3">
      <c r="G19" s="99"/>
      <c r="H19" s="99"/>
      <c r="I19" s="99"/>
      <c r="J19" s="99"/>
      <c r="K19" s="99"/>
      <c r="L19" s="99"/>
      <c r="M19" s="99"/>
      <c r="N19" s="99"/>
      <c r="O19" s="99"/>
      <c r="P19" s="99"/>
      <c r="Q19" s="99"/>
      <c r="R19" s="99"/>
      <c r="S19" s="99"/>
      <c r="T19" s="99"/>
      <c r="U19" s="99"/>
      <c r="V19" s="99"/>
      <c r="W19" s="99"/>
      <c r="X19" s="99"/>
      <c r="Y19" s="99"/>
      <c r="Z19" s="99"/>
      <c r="AA19" s="99"/>
      <c r="AB19" s="99"/>
    </row>
    <row r="20" spans="1:28" x14ac:dyDescent="0.3">
      <c r="D20" s="13" t="s">
        <v>627</v>
      </c>
      <c r="E20" s="159" t="str">
        <f>IF(E18="yes",ROUNDUP(SUM('(OPTION) Veh -Gate Int Time'!E39,0)+SUM('(OPTION) Time to Clear CSD'!E25,0)+PreemptionForm!F109,0),"N/A")</f>
        <v>N/A</v>
      </c>
      <c r="G20" s="293" t="s">
        <v>205</v>
      </c>
      <c r="H20" s="293"/>
      <c r="I20" s="293"/>
      <c r="J20" s="293"/>
      <c r="K20" s="293"/>
      <c r="L20" s="293"/>
      <c r="M20" s="293"/>
      <c r="N20" s="293"/>
      <c r="O20" s="293"/>
      <c r="P20" s="293"/>
      <c r="Q20" s="293"/>
      <c r="R20" s="293"/>
      <c r="S20" s="303"/>
      <c r="T20" s="303"/>
      <c r="U20" s="303"/>
      <c r="V20" s="303"/>
      <c r="W20" s="303"/>
      <c r="X20" s="303"/>
      <c r="Y20" s="303"/>
      <c r="Z20" s="303"/>
      <c r="AA20" s="303"/>
      <c r="AB20" s="303"/>
    </row>
    <row r="21" spans="1:28" ht="9.9" customHeight="1" x14ac:dyDescent="0.3">
      <c r="G21" s="99"/>
      <c r="H21" s="99"/>
      <c r="I21" s="99"/>
      <c r="J21" s="99"/>
      <c r="K21" s="99"/>
      <c r="L21" s="99"/>
      <c r="M21" s="99"/>
      <c r="N21" s="99"/>
      <c r="O21" s="99"/>
      <c r="P21" s="99"/>
      <c r="Q21" s="99"/>
      <c r="R21" s="99"/>
      <c r="S21" s="99"/>
      <c r="T21" s="99"/>
      <c r="U21" s="99"/>
      <c r="V21" s="99"/>
      <c r="W21" s="99"/>
      <c r="X21" s="99"/>
      <c r="Y21" s="99"/>
      <c r="Z21" s="99"/>
      <c r="AA21" s="99"/>
      <c r="AB21" s="99"/>
    </row>
    <row r="22" spans="1:28" x14ac:dyDescent="0.3">
      <c r="D22" s="13"/>
      <c r="E22" s="186"/>
      <c r="G22" s="335"/>
      <c r="H22" s="335"/>
      <c r="I22" s="335"/>
      <c r="J22" s="335"/>
      <c r="K22" s="335"/>
      <c r="L22" s="335"/>
      <c r="M22" s="335"/>
      <c r="N22" s="335"/>
      <c r="O22" s="335"/>
      <c r="P22" s="335"/>
      <c r="Q22" s="335"/>
      <c r="R22" s="335"/>
      <c r="S22" s="334"/>
      <c r="T22" s="334"/>
      <c r="U22" s="334"/>
      <c r="V22" s="334"/>
      <c r="W22" s="334"/>
      <c r="X22" s="334"/>
      <c r="Y22" s="334"/>
      <c r="Z22" s="334"/>
      <c r="AA22" s="334"/>
      <c r="AB22" s="334"/>
    </row>
    <row r="23" spans="1:28" ht="9.9" customHeight="1" x14ac:dyDescent="0.3"/>
    <row r="24" spans="1:28" x14ac:dyDescent="0.3">
      <c r="A24" s="258"/>
      <c r="G24" s="10"/>
      <c r="H24" s="10"/>
      <c r="I24" s="10"/>
    </row>
    <row r="25" spans="1:28" x14ac:dyDescent="0.3">
      <c r="D25" s="13"/>
      <c r="E25" s="253"/>
      <c r="G25" s="334"/>
      <c r="H25" s="334"/>
      <c r="I25" s="334"/>
      <c r="J25" s="334"/>
      <c r="K25" s="334"/>
      <c r="L25" s="334"/>
      <c r="M25" s="334"/>
      <c r="N25" s="334"/>
      <c r="O25" s="334"/>
      <c r="P25" s="334"/>
      <c r="Q25" s="334"/>
      <c r="R25" s="334"/>
      <c r="S25" s="334"/>
      <c r="T25" s="334"/>
      <c r="U25" s="334"/>
      <c r="V25" s="334"/>
      <c r="W25" s="334"/>
      <c r="X25" s="334"/>
      <c r="Y25" s="334"/>
      <c r="Z25" s="334"/>
      <c r="AA25" s="334"/>
      <c r="AB25" s="334"/>
    </row>
    <row r="26" spans="1:28" ht="9.9" customHeight="1" x14ac:dyDescent="0.3">
      <c r="G26" s="99"/>
      <c r="H26" s="99"/>
      <c r="I26" s="99"/>
      <c r="J26" s="99"/>
      <c r="K26" s="99"/>
      <c r="L26" s="99"/>
      <c r="M26" s="99"/>
      <c r="N26" s="99"/>
      <c r="O26" s="99"/>
      <c r="P26" s="99"/>
      <c r="Q26" s="99"/>
      <c r="R26" s="99"/>
      <c r="S26" s="99"/>
      <c r="T26" s="99"/>
      <c r="U26" s="99"/>
      <c r="V26" s="99"/>
      <c r="W26" s="99"/>
      <c r="X26" s="99"/>
      <c r="Y26" s="99"/>
      <c r="Z26" s="99"/>
      <c r="AA26" s="99"/>
      <c r="AB26" s="99"/>
    </row>
    <row r="27" spans="1:28" x14ac:dyDescent="0.3">
      <c r="D27" s="13"/>
      <c r="E27" s="186"/>
      <c r="G27" s="199"/>
      <c r="H27" s="334"/>
      <c r="I27" s="334"/>
      <c r="J27" s="334"/>
      <c r="K27" s="334"/>
      <c r="L27" s="334"/>
      <c r="M27" s="334"/>
      <c r="N27" s="334"/>
      <c r="O27" s="334"/>
      <c r="P27" s="334"/>
      <c r="Q27" s="334"/>
      <c r="R27" s="334"/>
      <c r="S27" s="334"/>
      <c r="T27" s="334"/>
      <c r="U27" s="334"/>
      <c r="V27" s="334"/>
      <c r="W27" s="334"/>
      <c r="X27" s="334"/>
      <c r="Y27" s="334"/>
      <c r="Z27" s="334"/>
      <c r="AA27" s="334"/>
      <c r="AB27" s="334"/>
    </row>
    <row r="28" spans="1:28" ht="9.9" customHeight="1" x14ac:dyDescent="0.3">
      <c r="G28" s="99"/>
      <c r="H28" s="99"/>
      <c r="I28" s="99"/>
      <c r="J28" s="99"/>
      <c r="K28" s="99"/>
      <c r="L28" s="99"/>
      <c r="M28" s="99"/>
      <c r="N28" s="99"/>
      <c r="O28" s="99"/>
      <c r="P28" s="99"/>
      <c r="Q28" s="99"/>
      <c r="R28" s="99"/>
      <c r="S28" s="99"/>
      <c r="T28" s="99"/>
      <c r="U28" s="99"/>
      <c r="V28" s="99"/>
      <c r="W28" s="99"/>
      <c r="X28" s="99"/>
      <c r="Y28" s="99"/>
      <c r="Z28" s="99"/>
      <c r="AA28" s="99"/>
      <c r="AB28" s="99"/>
    </row>
    <row r="29" spans="1:28" x14ac:dyDescent="0.3">
      <c r="D29" s="13"/>
      <c r="E29" s="186"/>
      <c r="G29" s="335"/>
      <c r="H29" s="335"/>
      <c r="I29" s="335"/>
      <c r="J29" s="335"/>
      <c r="K29" s="335"/>
      <c r="L29" s="335"/>
      <c r="M29" s="335"/>
      <c r="N29" s="335"/>
      <c r="O29" s="335"/>
      <c r="P29" s="335"/>
      <c r="Q29" s="335"/>
      <c r="R29" s="335"/>
      <c r="S29" s="334"/>
      <c r="T29" s="334"/>
      <c r="U29" s="334"/>
      <c r="V29" s="334"/>
      <c r="W29" s="334"/>
      <c r="X29" s="334"/>
      <c r="Y29" s="334"/>
      <c r="Z29" s="334"/>
      <c r="AA29" s="334"/>
      <c r="AB29" s="334"/>
    </row>
    <row r="30" spans="1:28" ht="9.9" customHeight="1" x14ac:dyDescent="0.3">
      <c r="D30" s="13"/>
      <c r="E30" s="186"/>
      <c r="G30" s="252"/>
      <c r="H30" s="252"/>
      <c r="I30" s="252"/>
      <c r="J30" s="252"/>
      <c r="K30" s="252"/>
      <c r="L30" s="252"/>
      <c r="M30" s="252"/>
      <c r="N30" s="252"/>
      <c r="O30" s="252"/>
      <c r="P30" s="252"/>
      <c r="Q30" s="252"/>
      <c r="R30" s="99"/>
      <c r="S30" s="99"/>
      <c r="T30" s="99"/>
      <c r="U30" s="99"/>
      <c r="V30" s="99"/>
      <c r="W30" s="99"/>
      <c r="X30" s="99"/>
      <c r="Y30" s="99"/>
      <c r="Z30" s="99"/>
      <c r="AA30" s="99"/>
      <c r="AB30" s="99"/>
    </row>
    <row r="31" spans="1:28" x14ac:dyDescent="0.3">
      <c r="A31" s="258"/>
      <c r="D31" s="13"/>
      <c r="E31" s="186"/>
      <c r="G31" s="252"/>
      <c r="H31" s="252"/>
      <c r="I31" s="252"/>
      <c r="J31" s="252"/>
      <c r="K31" s="252"/>
      <c r="L31" s="252"/>
      <c r="M31" s="252"/>
      <c r="N31" s="252"/>
      <c r="O31" s="252"/>
      <c r="P31" s="252"/>
      <c r="Q31" s="252"/>
      <c r="R31" s="99"/>
      <c r="S31" s="99"/>
      <c r="T31" s="99"/>
      <c r="U31" s="99"/>
      <c r="V31" s="99"/>
      <c r="W31" s="99"/>
      <c r="X31" s="99"/>
      <c r="Y31" s="99"/>
      <c r="Z31" s="99"/>
      <c r="AA31" s="99"/>
      <c r="AB31" s="99"/>
    </row>
    <row r="32" spans="1:28" x14ac:dyDescent="0.3">
      <c r="A32" s="10"/>
      <c r="D32" s="13"/>
      <c r="E32" s="186"/>
      <c r="G32" s="335"/>
      <c r="H32" s="335"/>
      <c r="I32" s="335"/>
      <c r="J32" s="335"/>
      <c r="K32" s="335"/>
      <c r="L32" s="335"/>
      <c r="M32" s="335"/>
      <c r="N32" s="335"/>
      <c r="O32" s="335"/>
      <c r="P32" s="335"/>
      <c r="Q32" s="335"/>
      <c r="R32" s="335"/>
      <c r="S32" s="334"/>
      <c r="T32" s="334"/>
      <c r="U32" s="334"/>
      <c r="V32" s="334"/>
      <c r="W32" s="334"/>
      <c r="X32" s="334"/>
      <c r="Y32" s="334"/>
      <c r="Z32" s="334"/>
      <c r="AA32" s="334"/>
      <c r="AB32" s="334"/>
    </row>
    <row r="33" spans="1:28" ht="141.9" customHeight="1" x14ac:dyDescent="0.3">
      <c r="D33" s="13"/>
      <c r="E33" s="186"/>
      <c r="G33" s="99"/>
      <c r="H33" s="99"/>
      <c r="I33" s="99"/>
      <c r="J33" s="99"/>
      <c r="K33" s="99"/>
      <c r="L33" s="99"/>
      <c r="M33" s="99"/>
      <c r="N33" s="99"/>
      <c r="O33" s="99"/>
      <c r="P33" s="99"/>
      <c r="Q33" s="99"/>
      <c r="R33" s="99"/>
      <c r="S33" s="99"/>
      <c r="T33" s="99"/>
      <c r="U33" s="99"/>
      <c r="V33" s="99"/>
      <c r="W33" s="99"/>
      <c r="X33" s="99"/>
      <c r="Y33" s="99"/>
      <c r="Z33" s="99"/>
      <c r="AA33" s="99"/>
      <c r="AB33" s="99"/>
    </row>
    <row r="34" spans="1:28" ht="27.75" customHeight="1" x14ac:dyDescent="0.3">
      <c r="A34" s="305" t="s">
        <v>180</v>
      </c>
      <c r="B34" s="305"/>
      <c r="C34" s="305"/>
      <c r="D34" s="305"/>
      <c r="E34" s="305"/>
      <c r="F34" s="305"/>
      <c r="G34" s="305"/>
      <c r="H34" s="201"/>
      <c r="I34" s="201"/>
      <c r="J34" s="201"/>
      <c r="K34" s="201"/>
      <c r="L34" s="201"/>
      <c r="M34" s="201"/>
      <c r="N34" s="201"/>
      <c r="O34" s="201"/>
      <c r="P34" s="201"/>
      <c r="Q34" s="201"/>
      <c r="R34" s="201"/>
      <c r="S34" s="201"/>
      <c r="T34" s="201"/>
      <c r="U34" s="201"/>
      <c r="V34" s="201"/>
      <c r="W34" s="201"/>
      <c r="X34" s="201"/>
      <c r="Y34" s="201"/>
      <c r="Z34" s="201"/>
      <c r="AA34" s="201"/>
      <c r="AB34" s="1" t="s">
        <v>181</v>
      </c>
    </row>
    <row r="35" spans="1:28" ht="7.35" customHeight="1" x14ac:dyDescent="0.3"/>
    <row r="36" spans="1:28" x14ac:dyDescent="0.3">
      <c r="D36" s="14"/>
      <c r="E36" s="28"/>
      <c r="G36" s="27"/>
      <c r="H36" s="27"/>
      <c r="I36" s="27"/>
      <c r="J36" s="27"/>
      <c r="K36" s="27"/>
      <c r="L36" s="27"/>
      <c r="M36" s="27"/>
      <c r="N36" s="27"/>
      <c r="O36" s="27"/>
      <c r="P36" s="27"/>
      <c r="Q36" s="27"/>
      <c r="R36" s="27"/>
      <c r="S36" s="27"/>
      <c r="T36" s="27"/>
      <c r="U36" s="27"/>
      <c r="V36" s="27"/>
      <c r="W36" s="27"/>
      <c r="X36" s="27"/>
      <c r="Y36" s="27"/>
      <c r="Z36" s="27"/>
      <c r="AA36" s="27"/>
      <c r="AB36" s="27"/>
    </row>
    <row r="37" spans="1:28" x14ac:dyDescent="0.3">
      <c r="D37" s="14"/>
      <c r="E37" s="28"/>
      <c r="H37" s="27"/>
      <c r="I37" s="27"/>
      <c r="J37" s="27"/>
      <c r="K37" s="27"/>
      <c r="L37" s="27"/>
      <c r="M37" s="27"/>
      <c r="N37" s="27"/>
      <c r="O37" s="27"/>
      <c r="P37" s="27"/>
      <c r="Q37" s="27"/>
      <c r="R37" s="27"/>
      <c r="S37" s="27"/>
      <c r="T37" s="27"/>
      <c r="U37" s="27"/>
      <c r="V37" s="27"/>
      <c r="W37" s="27"/>
      <c r="X37" s="27"/>
      <c r="Y37" s="27"/>
      <c r="Z37" s="27"/>
      <c r="AA37" s="27"/>
      <c r="AB37" s="27"/>
    </row>
    <row r="38" spans="1:28" x14ac:dyDescent="0.3">
      <c r="D38" s="14"/>
      <c r="E38" s="28"/>
      <c r="H38" s="27"/>
      <c r="I38" s="27"/>
      <c r="J38" s="27"/>
      <c r="K38" s="27"/>
      <c r="L38" s="27"/>
      <c r="M38" s="27"/>
      <c r="N38" s="27"/>
      <c r="O38" s="27"/>
      <c r="P38" s="27"/>
      <c r="Q38" s="27"/>
      <c r="R38" s="27"/>
      <c r="S38" s="27"/>
      <c r="T38" s="27"/>
      <c r="U38" s="27"/>
      <c r="V38" s="27"/>
      <c r="W38" s="27"/>
      <c r="X38" s="27"/>
      <c r="Y38" s="27"/>
      <c r="Z38" s="27"/>
      <c r="AA38" s="27"/>
      <c r="AB38" s="27"/>
    </row>
    <row r="39" spans="1:28" x14ac:dyDescent="0.3">
      <c r="D39" s="14"/>
      <c r="E39" s="28"/>
      <c r="H39" s="27"/>
      <c r="I39" s="27"/>
      <c r="J39" s="27"/>
      <c r="K39" s="27"/>
      <c r="L39" s="27"/>
      <c r="M39" s="27"/>
      <c r="N39" s="27"/>
      <c r="O39" s="27"/>
      <c r="P39" s="27"/>
      <c r="Q39" s="27"/>
      <c r="R39" s="27"/>
      <c r="S39" s="27"/>
      <c r="T39" s="27"/>
      <c r="U39" s="27"/>
      <c r="V39" s="27"/>
      <c r="W39" s="27"/>
      <c r="X39" s="27"/>
      <c r="Y39" s="27"/>
      <c r="Z39" s="27"/>
      <c r="AA39" s="27"/>
      <c r="AB39" s="27"/>
    </row>
    <row r="40" spans="1:28" x14ac:dyDescent="0.3">
      <c r="D40" s="14"/>
      <c r="E40" s="28"/>
      <c r="G40" s="27"/>
      <c r="H40" s="27"/>
      <c r="I40" s="27"/>
      <c r="J40" s="27"/>
      <c r="K40" s="27"/>
      <c r="L40" s="27"/>
      <c r="M40" s="27"/>
      <c r="N40" s="27"/>
      <c r="O40" s="27"/>
      <c r="P40" s="27"/>
      <c r="Q40" s="27"/>
      <c r="R40" s="27"/>
      <c r="S40" s="27"/>
      <c r="T40" s="27"/>
      <c r="U40" s="27"/>
      <c r="V40" s="27"/>
      <c r="W40" s="27"/>
      <c r="X40" s="27"/>
      <c r="Y40" s="27"/>
      <c r="Z40" s="27"/>
      <c r="AA40" s="27"/>
      <c r="AB40" s="27"/>
    </row>
    <row r="41" spans="1:28" x14ac:dyDescent="0.3">
      <c r="D41" s="14"/>
      <c r="E41" s="28"/>
      <c r="G41" s="27"/>
      <c r="H41" s="27"/>
      <c r="I41" s="27"/>
      <c r="J41" s="27"/>
      <c r="K41" s="27"/>
      <c r="L41" s="27"/>
      <c r="M41" s="27"/>
      <c r="N41" s="27"/>
      <c r="O41" s="27"/>
      <c r="P41" s="27"/>
      <c r="Q41" s="27"/>
      <c r="R41" s="27"/>
      <c r="S41" s="27"/>
      <c r="T41" s="27"/>
      <c r="U41" s="27"/>
      <c r="V41" s="27"/>
      <c r="W41" s="27"/>
      <c r="X41" s="27"/>
      <c r="Y41" s="27"/>
      <c r="Z41" s="27"/>
      <c r="AA41" s="27"/>
      <c r="AB41" s="27"/>
    </row>
    <row r="42" spans="1:28" x14ac:dyDescent="0.3">
      <c r="D42" s="14"/>
      <c r="E42" s="28"/>
      <c r="G42" s="27"/>
      <c r="H42" s="27"/>
      <c r="I42" s="27"/>
      <c r="J42" s="27"/>
      <c r="K42" s="27"/>
      <c r="L42" s="27"/>
      <c r="M42" s="27"/>
      <c r="N42" s="27"/>
      <c r="O42" s="27"/>
      <c r="P42" s="27"/>
      <c r="Q42" s="27"/>
      <c r="R42" s="27"/>
      <c r="S42" s="27"/>
      <c r="T42" s="27"/>
      <c r="U42" s="27"/>
      <c r="V42" s="27"/>
      <c r="W42" s="27"/>
      <c r="X42" s="27"/>
      <c r="Y42" s="27"/>
      <c r="Z42" s="27"/>
      <c r="AA42" s="27"/>
      <c r="AB42" s="27"/>
    </row>
    <row r="43" spans="1:28" x14ac:dyDescent="0.3">
      <c r="D43" s="14"/>
      <c r="E43" s="28"/>
      <c r="G43" s="27"/>
      <c r="H43" s="27"/>
      <c r="I43" s="27"/>
      <c r="J43" s="27"/>
      <c r="K43" s="27"/>
      <c r="L43" s="27"/>
      <c r="M43" s="27"/>
      <c r="N43" s="27"/>
      <c r="O43" s="27"/>
      <c r="P43" s="27"/>
      <c r="Q43" s="27"/>
      <c r="R43" s="27"/>
      <c r="S43" s="27"/>
      <c r="T43" s="27"/>
      <c r="U43" s="27"/>
      <c r="V43" s="27"/>
      <c r="W43" s="27"/>
      <c r="X43" s="27"/>
      <c r="Y43" s="27"/>
      <c r="Z43" s="27"/>
      <c r="AA43" s="27"/>
      <c r="AB43" s="27"/>
    </row>
    <row r="44" spans="1:28" x14ac:dyDescent="0.3">
      <c r="D44" s="14"/>
      <c r="E44" s="28"/>
      <c r="G44" s="27"/>
      <c r="H44" s="27"/>
      <c r="I44" s="27"/>
      <c r="J44" s="27"/>
      <c r="K44" s="27"/>
      <c r="L44" s="27"/>
      <c r="M44" s="27"/>
      <c r="N44" s="27"/>
      <c r="O44" s="27"/>
      <c r="P44" s="27"/>
      <c r="Q44" s="27"/>
      <c r="R44" s="27"/>
      <c r="S44" s="27"/>
      <c r="T44" s="27"/>
      <c r="U44" s="27"/>
      <c r="V44" s="27"/>
      <c r="W44" s="27"/>
      <c r="X44" s="27"/>
      <c r="Y44" s="27"/>
      <c r="Z44" s="27"/>
      <c r="AA44" s="27"/>
      <c r="AB44" s="27"/>
    </row>
    <row r="45" spans="1:28" x14ac:dyDescent="0.3">
      <c r="D45" s="14"/>
      <c r="E45" s="28"/>
      <c r="G45" s="27"/>
      <c r="H45" s="27"/>
      <c r="I45" s="27"/>
      <c r="J45" s="27"/>
      <c r="K45" s="27"/>
      <c r="L45" s="27"/>
      <c r="M45" s="27"/>
      <c r="N45" s="27"/>
      <c r="O45" s="27"/>
      <c r="P45" s="27"/>
      <c r="Q45" s="27"/>
      <c r="R45" s="27"/>
      <c r="S45" s="27"/>
      <c r="T45" s="27"/>
      <c r="U45" s="27"/>
      <c r="V45" s="27"/>
      <c r="W45" s="27"/>
      <c r="X45" s="27"/>
      <c r="Y45" s="27"/>
      <c r="Z45" s="27"/>
      <c r="AA45" s="27"/>
      <c r="AB45" s="27"/>
    </row>
    <row r="46" spans="1:28" x14ac:dyDescent="0.3">
      <c r="D46" s="14"/>
      <c r="E46" s="28"/>
      <c r="G46" s="27"/>
      <c r="H46" s="27"/>
      <c r="I46" s="27"/>
      <c r="J46" s="27"/>
      <c r="K46" s="27"/>
      <c r="L46" s="27"/>
      <c r="M46" s="27"/>
      <c r="N46" s="27"/>
      <c r="O46" s="27"/>
      <c r="P46" s="27"/>
      <c r="Q46" s="27"/>
      <c r="R46" s="27"/>
      <c r="S46" s="27"/>
      <c r="T46" s="27"/>
      <c r="U46" s="27"/>
      <c r="V46" s="27"/>
      <c r="W46" s="27"/>
      <c r="X46" s="27"/>
      <c r="Y46" s="27"/>
      <c r="Z46" s="27"/>
      <c r="AA46" s="27"/>
      <c r="AB46" s="27"/>
    </row>
    <row r="47" spans="1:28" x14ac:dyDescent="0.3">
      <c r="D47" s="14"/>
      <c r="E47" s="28"/>
      <c r="G47" s="27"/>
      <c r="H47" s="27"/>
      <c r="I47" s="27"/>
      <c r="J47" s="27"/>
      <c r="K47" s="27"/>
      <c r="L47" s="27"/>
      <c r="M47" s="27"/>
      <c r="N47" s="27"/>
      <c r="O47" s="27"/>
      <c r="P47" s="27"/>
      <c r="Q47" s="27"/>
      <c r="R47" s="27"/>
      <c r="S47" s="27"/>
      <c r="T47" s="27"/>
      <c r="U47" s="27"/>
      <c r="V47" s="27"/>
      <c r="W47" s="27"/>
      <c r="X47" s="27"/>
      <c r="Y47" s="27"/>
      <c r="Z47" s="27"/>
      <c r="AA47" s="27"/>
      <c r="AB47" s="27"/>
    </row>
    <row r="48" spans="1:28" x14ac:dyDescent="0.3">
      <c r="D48" s="14"/>
      <c r="E48" s="28"/>
      <c r="G48" s="27"/>
      <c r="H48" s="27"/>
      <c r="I48" s="27"/>
      <c r="J48" s="27"/>
      <c r="K48" s="27"/>
      <c r="L48" s="27"/>
      <c r="M48" s="27"/>
      <c r="N48" s="27"/>
      <c r="O48" s="27"/>
      <c r="P48" s="27"/>
      <c r="Q48" s="27"/>
      <c r="R48" s="27"/>
      <c r="S48" s="27"/>
      <c r="T48" s="27"/>
      <c r="U48" s="27"/>
      <c r="V48" s="27"/>
      <c r="W48" s="27"/>
      <c r="X48" s="27"/>
      <c r="Y48" s="27"/>
      <c r="Z48" s="27"/>
      <c r="AA48" s="27"/>
      <c r="AB48" s="27"/>
    </row>
    <row r="49" spans="1:28" x14ac:dyDescent="0.3">
      <c r="D49" s="14"/>
      <c r="E49" s="28"/>
      <c r="G49" s="27"/>
      <c r="H49" s="27"/>
      <c r="I49" s="27"/>
      <c r="J49" s="27"/>
      <c r="K49" s="27"/>
      <c r="L49" s="27"/>
      <c r="M49" s="27"/>
      <c r="N49" s="27"/>
      <c r="O49" s="27"/>
      <c r="P49" s="27"/>
      <c r="Q49" s="27"/>
      <c r="R49" s="27"/>
      <c r="S49" s="27"/>
      <c r="T49" s="27"/>
      <c r="U49" s="27"/>
      <c r="V49" s="27"/>
      <c r="W49" s="27"/>
      <c r="X49" s="27"/>
      <c r="Y49" s="27"/>
      <c r="Z49" s="27"/>
      <c r="AA49" s="27"/>
      <c r="AB49" s="27"/>
    </row>
    <row r="50" spans="1:28" x14ac:dyDescent="0.3">
      <c r="D50" s="14"/>
      <c r="E50" s="28"/>
      <c r="G50" s="27"/>
      <c r="H50" s="27"/>
      <c r="I50" s="27"/>
      <c r="J50" s="27"/>
      <c r="K50" s="27"/>
      <c r="L50" s="27"/>
      <c r="M50" s="27"/>
      <c r="N50" s="27"/>
      <c r="O50" s="27"/>
      <c r="P50" s="27"/>
      <c r="Q50" s="27"/>
      <c r="R50" s="27"/>
      <c r="S50" s="27"/>
      <c r="T50" s="27"/>
      <c r="U50" s="27"/>
      <c r="V50" s="27"/>
      <c r="W50" s="27"/>
      <c r="X50" s="27"/>
      <c r="Y50" s="27"/>
      <c r="Z50" s="27"/>
      <c r="AA50" s="27"/>
      <c r="AB50" s="27"/>
    </row>
    <row r="51" spans="1:28" x14ac:dyDescent="0.3">
      <c r="D51" s="14"/>
      <c r="E51" s="28"/>
      <c r="G51" s="27"/>
      <c r="H51" s="27"/>
      <c r="I51" s="27"/>
      <c r="J51" s="27"/>
      <c r="K51" s="27"/>
      <c r="L51" s="27"/>
      <c r="M51" s="27"/>
      <c r="N51" s="27"/>
      <c r="O51" s="27"/>
      <c r="P51" s="27"/>
      <c r="Q51" s="27"/>
      <c r="R51" s="27"/>
      <c r="S51" s="27"/>
      <c r="T51" s="27"/>
      <c r="U51" s="27"/>
      <c r="V51" s="27"/>
      <c r="W51" s="27"/>
      <c r="X51" s="27"/>
      <c r="Y51" s="27"/>
      <c r="Z51" s="27"/>
      <c r="AA51" s="27"/>
      <c r="AB51" s="27"/>
    </row>
    <row r="52" spans="1:28" x14ac:dyDescent="0.3">
      <c r="D52" s="14"/>
      <c r="E52" s="28"/>
      <c r="G52" s="27"/>
      <c r="H52" s="27"/>
      <c r="I52" s="27"/>
      <c r="J52" s="27"/>
      <c r="K52" s="27"/>
      <c r="L52" s="27"/>
      <c r="M52" s="27"/>
      <c r="N52" s="27"/>
      <c r="O52" s="27"/>
      <c r="P52" s="27"/>
      <c r="Q52" s="27"/>
      <c r="R52" s="27"/>
      <c r="S52" s="27"/>
      <c r="T52" s="27"/>
      <c r="U52" s="27"/>
      <c r="V52" s="27"/>
      <c r="W52" s="27"/>
      <c r="X52" s="27"/>
      <c r="Y52" s="27"/>
      <c r="Z52" s="27"/>
      <c r="AA52" s="27"/>
      <c r="AB52" s="27"/>
    </row>
    <row r="53" spans="1:28" x14ac:dyDescent="0.3">
      <c r="D53" s="14"/>
      <c r="E53" s="28"/>
      <c r="G53" s="27"/>
      <c r="H53" s="27"/>
      <c r="I53" s="27"/>
      <c r="J53" s="27"/>
      <c r="K53" s="27"/>
      <c r="L53" s="27"/>
      <c r="M53" s="27"/>
      <c r="N53" s="27"/>
      <c r="O53" s="27"/>
      <c r="P53" s="27"/>
      <c r="Q53" s="27"/>
      <c r="R53" s="27"/>
      <c r="S53" s="27"/>
      <c r="T53" s="27"/>
      <c r="U53" s="27"/>
      <c r="V53" s="27"/>
      <c r="W53" s="27"/>
      <c r="X53" s="27"/>
      <c r="Y53" s="27"/>
      <c r="Z53" s="27"/>
      <c r="AA53" s="27"/>
      <c r="AB53" s="27"/>
    </row>
    <row r="54" spans="1:28" x14ac:dyDescent="0.3">
      <c r="D54" s="14"/>
      <c r="E54" s="28"/>
      <c r="G54" s="27"/>
      <c r="H54" s="27"/>
      <c r="I54" s="27"/>
      <c r="J54" s="27"/>
      <c r="K54" s="27"/>
      <c r="L54" s="27"/>
      <c r="M54" s="27"/>
      <c r="N54" s="27"/>
      <c r="O54" s="27"/>
      <c r="P54" s="27"/>
      <c r="Q54" s="27"/>
      <c r="R54" s="27"/>
      <c r="S54" s="27"/>
      <c r="T54" s="27"/>
      <c r="U54" s="27"/>
      <c r="V54" s="27"/>
      <c r="W54" s="27"/>
      <c r="X54" s="27"/>
      <c r="Y54" s="27"/>
      <c r="Z54" s="27"/>
      <c r="AA54" s="27"/>
      <c r="AB54" s="27"/>
    </row>
    <row r="55" spans="1:28" x14ac:dyDescent="0.3">
      <c r="D55" s="14"/>
      <c r="E55" s="28"/>
      <c r="G55" s="27"/>
      <c r="H55" s="27"/>
      <c r="I55" s="27"/>
      <c r="J55" s="27"/>
      <c r="K55" s="27"/>
      <c r="L55" s="27"/>
      <c r="M55" s="27"/>
      <c r="N55" s="27"/>
      <c r="O55" s="27"/>
      <c r="P55" s="27"/>
      <c r="Q55" s="27"/>
      <c r="R55" s="27"/>
      <c r="S55" s="27"/>
      <c r="T55" s="27"/>
      <c r="U55" s="27"/>
      <c r="V55" s="27"/>
      <c r="W55" s="27"/>
      <c r="X55" s="27"/>
      <c r="Y55" s="27"/>
      <c r="Z55" s="27"/>
      <c r="AA55" s="27"/>
      <c r="AB55" s="27"/>
    </row>
    <row r="56" spans="1:28" x14ac:dyDescent="0.3">
      <c r="D56" s="14"/>
      <c r="E56" s="28"/>
      <c r="G56" s="27"/>
      <c r="H56" s="27"/>
      <c r="I56" s="27"/>
      <c r="J56" s="27"/>
      <c r="K56" s="27"/>
      <c r="L56" s="27"/>
      <c r="M56" s="27"/>
      <c r="N56" s="27"/>
      <c r="O56" s="27"/>
      <c r="P56" s="27"/>
      <c r="Q56" s="27"/>
      <c r="R56" s="27"/>
      <c r="S56" s="27"/>
      <c r="T56" s="27"/>
      <c r="U56" s="27"/>
      <c r="V56" s="27"/>
      <c r="W56" s="27"/>
      <c r="X56" s="27"/>
      <c r="Y56" s="27"/>
      <c r="Z56" s="27"/>
      <c r="AA56" s="27"/>
      <c r="AB56" s="27"/>
    </row>
    <row r="59" spans="1:28" x14ac:dyDescent="0.3">
      <c r="A59" s="17"/>
      <c r="C59" s="17"/>
      <c r="D59" s="17"/>
      <c r="E59" s="18"/>
      <c r="F59" s="41"/>
    </row>
    <row r="60" spans="1:28" x14ac:dyDescent="0.3">
      <c r="A60" s="17"/>
      <c r="C60" s="17"/>
      <c r="D60" s="17"/>
      <c r="E60" s="18"/>
      <c r="F60" s="41"/>
    </row>
    <row r="61" spans="1:28" x14ac:dyDescent="0.3">
      <c r="A61" s="17"/>
      <c r="C61" s="17"/>
      <c r="D61" s="17"/>
      <c r="E61" s="18"/>
      <c r="F61" s="41"/>
    </row>
    <row r="62" spans="1:28" x14ac:dyDescent="0.3">
      <c r="A62" s="17"/>
      <c r="C62" s="17"/>
      <c r="D62" s="17"/>
      <c r="E62" s="18"/>
      <c r="F62" s="41"/>
    </row>
    <row r="63" spans="1:28" x14ac:dyDescent="0.3">
      <c r="A63" s="17"/>
      <c r="C63" s="18"/>
      <c r="D63" s="18"/>
      <c r="E63" s="42"/>
      <c r="F63" s="17"/>
    </row>
    <row r="64" spans="1:28" x14ac:dyDescent="0.3">
      <c r="A64" s="17"/>
      <c r="C64" s="18"/>
      <c r="D64" s="42"/>
      <c r="E64" s="17"/>
      <c r="F64" s="42"/>
    </row>
    <row r="65" spans="1:6" x14ac:dyDescent="0.3">
      <c r="A65" s="17"/>
      <c r="C65" s="17"/>
      <c r="D65" s="18"/>
      <c r="E65" s="17"/>
      <c r="F65" s="18"/>
    </row>
    <row r="66" spans="1:6" x14ac:dyDescent="0.3">
      <c r="A66" s="17"/>
      <c r="C66" s="187"/>
      <c r="D66" s="18"/>
      <c r="E66" s="17"/>
      <c r="F66" s="18"/>
    </row>
    <row r="67" spans="1:6" x14ac:dyDescent="0.3">
      <c r="A67" s="17"/>
      <c r="C67" s="187"/>
      <c r="D67" s="18"/>
      <c r="E67" s="17"/>
      <c r="F67" s="18"/>
    </row>
    <row r="68" spans="1:6" x14ac:dyDescent="0.3">
      <c r="A68" s="17"/>
      <c r="C68" s="18"/>
      <c r="D68" s="18"/>
      <c r="E68" s="43"/>
      <c r="F68" s="42"/>
    </row>
    <row r="69" spans="1:6" x14ac:dyDescent="0.3">
      <c r="A69" s="17"/>
      <c r="C69" s="18"/>
      <c r="D69" s="18"/>
      <c r="E69" s="17"/>
      <c r="F69" s="17"/>
    </row>
    <row r="70" spans="1:6" x14ac:dyDescent="0.3">
      <c r="A70" s="17"/>
      <c r="C70" s="18"/>
      <c r="D70" s="18"/>
      <c r="E70" s="17"/>
      <c r="F70" s="17"/>
    </row>
    <row r="71" spans="1:6" x14ac:dyDescent="0.3">
      <c r="A71" s="17"/>
      <c r="C71" s="18"/>
      <c r="D71" s="18"/>
      <c r="E71" s="17"/>
      <c r="F71" s="17"/>
    </row>
    <row r="72" spans="1:6" x14ac:dyDescent="0.3">
      <c r="A72" s="17"/>
      <c r="C72" s="17"/>
      <c r="D72" s="18"/>
      <c r="E72" s="17"/>
      <c r="F72" s="17"/>
    </row>
    <row r="73" spans="1:6" x14ac:dyDescent="0.3">
      <c r="A73" s="17"/>
      <c r="C73" s="17"/>
      <c r="D73" s="17"/>
      <c r="E73" s="17"/>
      <c r="F73" s="17"/>
    </row>
    <row r="74" spans="1:6" x14ac:dyDescent="0.3">
      <c r="A74" s="17"/>
      <c r="C74" s="17"/>
      <c r="D74" s="18"/>
      <c r="E74" s="18"/>
      <c r="F74" s="17"/>
    </row>
    <row r="75" spans="1:6" x14ac:dyDescent="0.3">
      <c r="A75" s="17"/>
      <c r="C75" s="17"/>
      <c r="D75" s="18"/>
      <c r="E75" s="17"/>
      <c r="F75" s="18"/>
    </row>
    <row r="76" spans="1:6" x14ac:dyDescent="0.3">
      <c r="A76" s="17"/>
      <c r="C76" s="17"/>
      <c r="D76" s="18"/>
      <c r="E76" s="17"/>
      <c r="F76" s="18"/>
    </row>
  </sheetData>
  <sheetProtection algorithmName="SHA-512" hashValue="hr52AJFegUORUBXsaZrbOt/ulS0qZyyMPYqgPmv8JLeW0bn7plJ30weF+rHoH4/g6NADkFEc+IyG6XXKRSj4wQ==" saltValue="1Jvabaa+c6wuPBdJkjqJGw==" spinCount="100000" sheet="1" objects="1" selectLockedCells="1"/>
  <dataConsolidate/>
  <mergeCells count="24">
    <mergeCell ref="B3:C3"/>
    <mergeCell ref="M3:AB3"/>
    <mergeCell ref="B5:C5"/>
    <mergeCell ref="M5:AB5"/>
    <mergeCell ref="B7:C7"/>
    <mergeCell ref="M7:AB7"/>
    <mergeCell ref="G18:AB18"/>
    <mergeCell ref="B9:C9"/>
    <mergeCell ref="M9:AB9"/>
    <mergeCell ref="B11:C11"/>
    <mergeCell ref="M11:AB11"/>
    <mergeCell ref="B13:C13"/>
    <mergeCell ref="M13:AB13"/>
    <mergeCell ref="G32:R32"/>
    <mergeCell ref="S32:AB32"/>
    <mergeCell ref="A34:G34"/>
    <mergeCell ref="H27:AB27"/>
    <mergeCell ref="G25:AB25"/>
    <mergeCell ref="S22:AB22"/>
    <mergeCell ref="G22:R22"/>
    <mergeCell ref="G20:R20"/>
    <mergeCell ref="S20:AB20"/>
    <mergeCell ref="G29:R29"/>
    <mergeCell ref="S29:AB29"/>
  </mergeCells>
  <printOptions horizontalCentered="1" verticalCentered="1"/>
  <pageMargins left="0.25" right="0.25" top="0.25" bottom="0.25" header="0" footer="0"/>
  <pageSetup scale="96" orientation="landscape" r:id="rId1"/>
  <drawing r:id="rId2"/>
  <legacyDrawingHF r:id="rId3"/>
  <extLst>
    <ext xmlns:x14="http://schemas.microsoft.com/office/spreadsheetml/2009/9/main" uri="{CCE6A557-97BC-4b89-ADB6-D9C93CAAB3DF}">
      <x14:dataValidations xmlns:xm="http://schemas.microsoft.com/office/excel/2006/main" count="2">
        <x14:dataValidation type="list" allowBlank="1" showInputMessage="1" showErrorMessage="1" promptTitle="Calc Approach Vehicle Time" xr:uid="{00000000-0002-0000-0600-000000000000}">
          <x14:formula1>
            <xm:f>Other!$E$1:$E$2</xm:f>
          </x14:formula1>
          <xm:sqref>E18</xm:sqref>
        </x14:dataValidation>
        <x14:dataValidation type="list" allowBlank="1" showInputMessage="1" showErrorMessage="1" promptTitle="Calc Conflicting Vehicle Time" xr:uid="{00000000-0002-0000-0600-000001000000}">
          <x14:formula1>
            <xm:f>Other!$E$1:$E$2</xm:f>
          </x14:formula1>
          <xm:sqref>E25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dimension ref="B1:F264"/>
  <sheetViews>
    <sheetView showGridLines="0" view="pageLayout" topLeftCell="A158" zoomScaleNormal="100" zoomScaleSheetLayoutView="85" workbookViewId="0">
      <selection activeCell="B163" sqref="B163:D174"/>
    </sheetView>
  </sheetViews>
  <sheetFormatPr defaultColWidth="9.109375" defaultRowHeight="14.4" x14ac:dyDescent="0.3"/>
  <cols>
    <col min="1" max="1" width="2.109375" customWidth="1"/>
    <col min="2" max="2" width="9.88671875" customWidth="1"/>
    <col min="3" max="3" width="14.44140625" customWidth="1"/>
    <col min="4" max="4" width="98.5546875" customWidth="1"/>
    <col min="5" max="5" width="6.6640625" customWidth="1"/>
    <col min="6" max="6" width="2.109375" customWidth="1"/>
  </cols>
  <sheetData>
    <row r="1" spans="2:6" ht="39" customHeight="1" x14ac:dyDescent="0.3">
      <c r="B1" s="237"/>
      <c r="C1" s="237"/>
      <c r="D1" s="245"/>
      <c r="F1" s="183" t="s">
        <v>615</v>
      </c>
    </row>
    <row r="2" spans="2:6" ht="15" customHeight="1" x14ac:dyDescent="0.3"/>
    <row r="3" spans="2:6" ht="32.25" customHeight="1" x14ac:dyDescent="0.3">
      <c r="B3" s="346" t="s">
        <v>270</v>
      </c>
      <c r="C3" s="346"/>
      <c r="D3" s="346"/>
    </row>
    <row r="4" spans="2:6" ht="60.75" customHeight="1" x14ac:dyDescent="0.3">
      <c r="B4" s="336" t="s">
        <v>640</v>
      </c>
      <c r="C4" s="336"/>
      <c r="D4" s="336"/>
    </row>
    <row r="5" spans="2:6" ht="9.9" customHeight="1" x14ac:dyDescent="0.3"/>
    <row r="6" spans="2:6" ht="15" x14ac:dyDescent="0.3">
      <c r="B6" s="218" t="s">
        <v>271</v>
      </c>
      <c r="C6" s="218" t="s">
        <v>272</v>
      </c>
    </row>
    <row r="7" spans="2:6" ht="32.25" customHeight="1" x14ac:dyDescent="0.3">
      <c r="B7" s="347" t="s">
        <v>273</v>
      </c>
      <c r="C7" s="347"/>
      <c r="D7" s="347"/>
    </row>
    <row r="8" spans="2:6" ht="18" customHeight="1" x14ac:dyDescent="0.3">
      <c r="B8" s="219" t="s">
        <v>274</v>
      </c>
      <c r="C8" s="219" t="s">
        <v>275</v>
      </c>
      <c r="D8" s="219" t="s">
        <v>276</v>
      </c>
      <c r="E8" s="219"/>
    </row>
    <row r="9" spans="2:6" ht="27.75" customHeight="1" x14ac:dyDescent="0.3">
      <c r="B9" s="220" t="s">
        <v>277</v>
      </c>
      <c r="C9" s="220" t="s">
        <v>278</v>
      </c>
      <c r="D9" s="221" t="s">
        <v>279</v>
      </c>
      <c r="E9" s="48"/>
    </row>
    <row r="10" spans="2:6" ht="18" customHeight="1" x14ac:dyDescent="0.3">
      <c r="B10" s="220" t="s">
        <v>277</v>
      </c>
      <c r="C10" s="220" t="s">
        <v>280</v>
      </c>
      <c r="D10" s="221" t="s">
        <v>281</v>
      </c>
      <c r="E10" s="48"/>
    </row>
    <row r="11" spans="2:6" ht="30" customHeight="1" x14ac:dyDescent="0.3">
      <c r="B11" s="220" t="s">
        <v>277</v>
      </c>
      <c r="C11" s="220" t="s">
        <v>282</v>
      </c>
      <c r="D11" s="221" t="s">
        <v>283</v>
      </c>
      <c r="E11" s="48"/>
    </row>
    <row r="12" spans="2:6" ht="44.25" customHeight="1" x14ac:dyDescent="0.3">
      <c r="B12" s="220" t="s">
        <v>277</v>
      </c>
      <c r="C12" s="220" t="s">
        <v>284</v>
      </c>
      <c r="D12" s="221" t="s">
        <v>285</v>
      </c>
      <c r="E12" s="48"/>
    </row>
    <row r="13" spans="2:6" ht="15.75" customHeight="1" x14ac:dyDescent="0.3">
      <c r="B13" s="220" t="s">
        <v>277</v>
      </c>
      <c r="C13" s="220" t="s">
        <v>286</v>
      </c>
      <c r="D13" s="221" t="s">
        <v>287</v>
      </c>
      <c r="E13" s="48"/>
    </row>
    <row r="14" spans="2:6" ht="36" customHeight="1" x14ac:dyDescent="0.3">
      <c r="B14" s="220" t="s">
        <v>277</v>
      </c>
      <c r="C14" s="220" t="s">
        <v>288</v>
      </c>
      <c r="D14" s="221" t="s">
        <v>289</v>
      </c>
      <c r="E14" s="48"/>
    </row>
    <row r="15" spans="2:6" ht="42" customHeight="1" x14ac:dyDescent="0.3">
      <c r="B15" s="220" t="s">
        <v>277</v>
      </c>
      <c r="C15" s="220" t="s">
        <v>290</v>
      </c>
      <c r="D15" s="221" t="s">
        <v>291</v>
      </c>
      <c r="E15" s="48"/>
    </row>
    <row r="16" spans="2:6" ht="18.75" customHeight="1" x14ac:dyDescent="0.3">
      <c r="B16" s="220" t="s">
        <v>277</v>
      </c>
      <c r="C16" s="220" t="s">
        <v>292</v>
      </c>
      <c r="D16" s="221" t="s">
        <v>293</v>
      </c>
      <c r="E16" s="48"/>
    </row>
    <row r="17" spans="2:6" ht="30.75" customHeight="1" x14ac:dyDescent="0.3">
      <c r="B17" s="220" t="s">
        <v>277</v>
      </c>
      <c r="C17" s="220" t="s">
        <v>294</v>
      </c>
      <c r="D17" s="221" t="s">
        <v>295</v>
      </c>
      <c r="E17" s="48"/>
    </row>
    <row r="18" spans="2:6" ht="30.75" customHeight="1" x14ac:dyDescent="0.3">
      <c r="B18" s="220" t="s">
        <v>277</v>
      </c>
      <c r="C18" s="220" t="s">
        <v>638</v>
      </c>
      <c r="D18" s="221" t="s">
        <v>639</v>
      </c>
      <c r="E18" s="48"/>
    </row>
    <row r="19" spans="2:6" ht="60.6" customHeight="1" x14ac:dyDescent="0.3">
      <c r="B19" s="237"/>
      <c r="C19" s="237"/>
      <c r="D19" s="238"/>
    </row>
    <row r="20" spans="2:6" x14ac:dyDescent="0.3">
      <c r="F20" s="1" t="s">
        <v>513</v>
      </c>
    </row>
    <row r="21" spans="2:6" ht="39" customHeight="1" x14ac:dyDescent="0.3">
      <c r="B21" s="237"/>
      <c r="C21" s="237"/>
      <c r="D21" s="245"/>
      <c r="F21" s="183" t="s">
        <v>615</v>
      </c>
    </row>
    <row r="22" spans="2:6" x14ac:dyDescent="0.3">
      <c r="E22" s="1"/>
      <c r="F22" s="1"/>
    </row>
    <row r="23" spans="2:6" s="218" customFormat="1" ht="15" x14ac:dyDescent="0.3">
      <c r="B23" s="218" t="s">
        <v>296</v>
      </c>
      <c r="C23" s="218" t="s">
        <v>297</v>
      </c>
    </row>
    <row r="24" spans="2:6" ht="27.75" customHeight="1" x14ac:dyDescent="0.3">
      <c r="B24" s="347" t="s">
        <v>298</v>
      </c>
      <c r="C24" s="347"/>
      <c r="D24" s="347"/>
    </row>
    <row r="25" spans="2:6" ht="18" customHeight="1" x14ac:dyDescent="0.3">
      <c r="B25" s="219" t="s">
        <v>274</v>
      </c>
      <c r="C25" s="219" t="s">
        <v>275</v>
      </c>
      <c r="D25" s="219" t="s">
        <v>276</v>
      </c>
      <c r="E25" s="219" t="s">
        <v>426</v>
      </c>
    </row>
    <row r="26" spans="2:6" ht="28.8" x14ac:dyDescent="0.3">
      <c r="B26" s="222">
        <v>1</v>
      </c>
      <c r="C26" s="222" t="s">
        <v>299</v>
      </c>
      <c r="D26" s="223" t="s">
        <v>300</v>
      </c>
      <c r="E26" s="48"/>
    </row>
    <row r="27" spans="2:6" ht="75.75" customHeight="1" x14ac:dyDescent="0.3">
      <c r="B27" s="222">
        <v>2</v>
      </c>
      <c r="C27" s="222" t="s">
        <v>301</v>
      </c>
      <c r="D27" s="223" t="s">
        <v>302</v>
      </c>
      <c r="E27" s="48"/>
    </row>
    <row r="28" spans="2:6" ht="43.2" x14ac:dyDescent="0.3">
      <c r="B28" s="224">
        <v>3</v>
      </c>
      <c r="C28" s="224" t="s">
        <v>416</v>
      </c>
      <c r="D28" s="225" t="s">
        <v>641</v>
      </c>
      <c r="E28" s="225"/>
    </row>
    <row r="29" spans="2:6" ht="62.25" customHeight="1" x14ac:dyDescent="0.3">
      <c r="B29" s="224">
        <v>4</v>
      </c>
      <c r="C29" s="224" t="s">
        <v>303</v>
      </c>
      <c r="D29" s="225" t="s">
        <v>304</v>
      </c>
      <c r="E29" s="225"/>
    </row>
    <row r="30" spans="2:6" ht="87" customHeight="1" x14ac:dyDescent="0.3">
      <c r="B30" s="224">
        <v>5</v>
      </c>
      <c r="C30" s="224" t="s">
        <v>305</v>
      </c>
      <c r="D30" s="225" t="s">
        <v>306</v>
      </c>
      <c r="E30" s="225"/>
    </row>
    <row r="31" spans="2:6" ht="60" customHeight="1" x14ac:dyDescent="0.3">
      <c r="B31" s="222">
        <v>6</v>
      </c>
      <c r="C31" s="222" t="s">
        <v>310</v>
      </c>
      <c r="D31" s="223" t="s">
        <v>444</v>
      </c>
      <c r="E31" s="48"/>
    </row>
    <row r="32" spans="2:6" ht="59.25" customHeight="1" x14ac:dyDescent="0.3">
      <c r="B32" s="222">
        <v>7</v>
      </c>
      <c r="C32" s="222" t="s">
        <v>311</v>
      </c>
      <c r="D32" s="226" t="s">
        <v>445</v>
      </c>
      <c r="E32" s="48"/>
    </row>
    <row r="33" spans="2:6" ht="60.15" customHeight="1" x14ac:dyDescent="0.3">
      <c r="B33" s="160"/>
      <c r="C33" s="160"/>
      <c r="D33" s="240"/>
      <c r="F33" s="1" t="s">
        <v>511</v>
      </c>
    </row>
    <row r="34" spans="2:6" ht="39" customHeight="1" x14ac:dyDescent="0.3">
      <c r="B34" s="237"/>
      <c r="C34" s="237"/>
      <c r="D34" s="245"/>
      <c r="F34" s="183" t="s">
        <v>615</v>
      </c>
    </row>
    <row r="36" spans="2:6" s="218" customFormat="1" ht="15" x14ac:dyDescent="0.3">
      <c r="B36" s="218" t="s">
        <v>307</v>
      </c>
      <c r="C36" s="218" t="s">
        <v>308</v>
      </c>
    </row>
    <row r="37" spans="2:6" ht="29.25" customHeight="1" x14ac:dyDescent="0.3">
      <c r="B37" s="63" t="s">
        <v>309</v>
      </c>
    </row>
    <row r="38" spans="2:6" ht="9" customHeight="1" x14ac:dyDescent="0.3">
      <c r="B38" s="160"/>
      <c r="C38" s="160"/>
      <c r="D38" s="240"/>
    </row>
    <row r="39" spans="2:6" ht="15" customHeight="1" x14ac:dyDescent="0.3">
      <c r="B39" s="160"/>
      <c r="C39" s="160"/>
      <c r="D39" s="240"/>
      <c r="E39" s="183"/>
      <c r="F39" s="183"/>
    </row>
    <row r="40" spans="2:6" ht="18" customHeight="1" x14ac:dyDescent="0.3">
      <c r="B40" s="219" t="s">
        <v>274</v>
      </c>
      <c r="C40" s="219" t="s">
        <v>275</v>
      </c>
      <c r="D40" s="219" t="s">
        <v>276</v>
      </c>
      <c r="E40" s="219" t="s">
        <v>426</v>
      </c>
    </row>
    <row r="41" spans="2:6" ht="57.6" x14ac:dyDescent="0.3">
      <c r="B41" s="222">
        <v>8</v>
      </c>
      <c r="C41" s="222" t="s">
        <v>117</v>
      </c>
      <c r="D41" s="226" t="s">
        <v>417</v>
      </c>
      <c r="E41" s="48"/>
    </row>
    <row r="42" spans="2:6" ht="120" customHeight="1" x14ac:dyDescent="0.3">
      <c r="B42" s="233">
        <v>9</v>
      </c>
      <c r="C42" s="233" t="s">
        <v>312</v>
      </c>
      <c r="D42" s="239" t="s">
        <v>313</v>
      </c>
      <c r="E42" s="239"/>
    </row>
    <row r="43" spans="2:6" ht="60.75" customHeight="1" x14ac:dyDescent="0.3">
      <c r="B43" s="224">
        <v>10</v>
      </c>
      <c r="C43" s="224" t="s">
        <v>314</v>
      </c>
      <c r="D43" s="227" t="s">
        <v>315</v>
      </c>
      <c r="E43" s="239"/>
    </row>
    <row r="44" spans="2:6" ht="74.25" customHeight="1" x14ac:dyDescent="0.3">
      <c r="B44" s="224">
        <v>11</v>
      </c>
      <c r="C44" s="224" t="s">
        <v>316</v>
      </c>
      <c r="D44" s="227" t="s">
        <v>317</v>
      </c>
      <c r="E44" s="239"/>
    </row>
    <row r="45" spans="2:6" ht="123.9" customHeight="1" x14ac:dyDescent="0.3">
      <c r="B45" s="237"/>
      <c r="C45" s="237"/>
      <c r="D45" s="238"/>
      <c r="F45" s="1" t="s">
        <v>512</v>
      </c>
    </row>
    <row r="46" spans="2:6" ht="39" customHeight="1" x14ac:dyDescent="0.3">
      <c r="B46" s="237"/>
      <c r="C46" s="237"/>
      <c r="D46" s="245"/>
      <c r="F46" s="183" t="s">
        <v>615</v>
      </c>
    </row>
    <row r="47" spans="2:6" ht="15" customHeight="1" x14ac:dyDescent="0.3">
      <c r="B47" s="237"/>
      <c r="C47" s="237"/>
      <c r="D47" s="238"/>
      <c r="E47" s="1"/>
      <c r="F47" s="1"/>
    </row>
    <row r="48" spans="2:6" ht="18" customHeight="1" x14ac:dyDescent="0.3">
      <c r="B48" s="219" t="s">
        <v>274</v>
      </c>
      <c r="C48" s="219" t="s">
        <v>275</v>
      </c>
      <c r="D48" s="219" t="s">
        <v>276</v>
      </c>
      <c r="E48" s="219" t="s">
        <v>426</v>
      </c>
    </row>
    <row r="49" spans="2:6" ht="232.5" customHeight="1" x14ac:dyDescent="0.3">
      <c r="B49" s="224">
        <v>12</v>
      </c>
      <c r="C49" s="224" t="s">
        <v>318</v>
      </c>
      <c r="D49" s="225" t="s">
        <v>434</v>
      </c>
      <c r="E49" s="225"/>
    </row>
    <row r="50" spans="2:6" ht="106.5" customHeight="1" x14ac:dyDescent="0.3">
      <c r="B50" s="224">
        <v>13</v>
      </c>
      <c r="C50" s="224" t="s">
        <v>319</v>
      </c>
      <c r="D50" s="227" t="s">
        <v>435</v>
      </c>
      <c r="E50" s="225"/>
    </row>
    <row r="51" spans="2:6" ht="183.15" customHeight="1" x14ac:dyDescent="0.3">
      <c r="B51" s="237"/>
      <c r="C51" s="237"/>
      <c r="D51" s="245"/>
      <c r="F51" s="1" t="s">
        <v>514</v>
      </c>
    </row>
    <row r="52" spans="2:6" ht="39" customHeight="1" x14ac:dyDescent="0.3">
      <c r="B52" s="237"/>
      <c r="C52" s="237"/>
      <c r="D52" s="245"/>
      <c r="F52" s="183" t="s">
        <v>615</v>
      </c>
    </row>
    <row r="53" spans="2:6" ht="15" customHeight="1" x14ac:dyDescent="0.3">
      <c r="E53" s="183"/>
      <c r="F53" s="183"/>
    </row>
    <row r="66" spans="2:4" ht="28.8" x14ac:dyDescent="0.3">
      <c r="D66" s="228" t="s">
        <v>415</v>
      </c>
    </row>
    <row r="68" spans="2:4" x14ac:dyDescent="0.3">
      <c r="D68" s="228"/>
    </row>
    <row r="80" spans="2:4" ht="120.15" customHeight="1" x14ac:dyDescent="0.3">
      <c r="B80" s="345"/>
      <c r="C80" s="345"/>
      <c r="D80" s="241"/>
    </row>
    <row r="81" spans="2:6" x14ac:dyDescent="0.3">
      <c r="B81" s="10"/>
      <c r="F81" s="1" t="s">
        <v>515</v>
      </c>
    </row>
    <row r="82" spans="2:6" ht="39" customHeight="1" x14ac:dyDescent="0.3">
      <c r="B82" s="237"/>
      <c r="C82" s="237"/>
      <c r="D82" s="245"/>
      <c r="F82" s="183" t="s">
        <v>615</v>
      </c>
    </row>
    <row r="100" spans="2:6" ht="15" x14ac:dyDescent="0.3">
      <c r="B100" s="218" t="s">
        <v>320</v>
      </c>
      <c r="C100" s="218" t="s">
        <v>321</v>
      </c>
      <c r="D100" s="218"/>
    </row>
    <row r="101" spans="2:6" s="63" customFormat="1" ht="33.75" customHeight="1" x14ac:dyDescent="0.3">
      <c r="B101" s="63" t="s">
        <v>322</v>
      </c>
    </row>
    <row r="102" spans="2:6" ht="18" customHeight="1" x14ac:dyDescent="0.3">
      <c r="B102" s="219" t="s">
        <v>274</v>
      </c>
      <c r="C102" s="219" t="s">
        <v>275</v>
      </c>
      <c r="D102" s="219" t="s">
        <v>276</v>
      </c>
      <c r="E102" s="219" t="s">
        <v>426</v>
      </c>
    </row>
    <row r="103" spans="2:6" ht="63.75" customHeight="1" x14ac:dyDescent="0.3">
      <c r="B103" s="220">
        <v>15</v>
      </c>
      <c r="C103" s="220" t="s">
        <v>323</v>
      </c>
      <c r="D103" s="221" t="s">
        <v>436</v>
      </c>
      <c r="E103" s="48"/>
    </row>
    <row r="104" spans="2:6" ht="28.8" x14ac:dyDescent="0.3">
      <c r="B104" s="220">
        <v>16</v>
      </c>
      <c r="C104" s="220" t="s">
        <v>324</v>
      </c>
      <c r="D104" s="221" t="s">
        <v>325</v>
      </c>
      <c r="E104" s="48"/>
    </row>
    <row r="105" spans="2:6" ht="74.25" customHeight="1" x14ac:dyDescent="0.3">
      <c r="B105" s="224">
        <v>17</v>
      </c>
      <c r="C105" s="224" t="s">
        <v>326</v>
      </c>
      <c r="D105" s="225" t="s">
        <v>327</v>
      </c>
      <c r="E105" s="225"/>
    </row>
    <row r="106" spans="2:6" ht="50.25" customHeight="1" x14ac:dyDescent="0.3">
      <c r="B106" s="237"/>
      <c r="C106" s="237"/>
      <c r="D106" s="238"/>
    </row>
    <row r="107" spans="2:6" ht="15" customHeight="1" x14ac:dyDescent="0.3">
      <c r="B107" s="237"/>
      <c r="C107" s="237"/>
      <c r="D107" s="238"/>
      <c r="F107" s="1" t="s">
        <v>516</v>
      </c>
    </row>
    <row r="108" spans="2:6" ht="39" customHeight="1" x14ac:dyDescent="0.3">
      <c r="B108" s="237"/>
      <c r="C108" s="237"/>
      <c r="D108" s="245"/>
      <c r="F108" s="183" t="s">
        <v>615</v>
      </c>
    </row>
    <row r="109" spans="2:6" ht="15" customHeight="1" x14ac:dyDescent="0.3">
      <c r="B109" s="237"/>
      <c r="C109" s="237"/>
      <c r="D109" s="238"/>
    </row>
    <row r="110" spans="2:6" ht="18" customHeight="1" x14ac:dyDescent="0.3">
      <c r="B110" s="219" t="s">
        <v>274</v>
      </c>
      <c r="C110" s="219" t="s">
        <v>275</v>
      </c>
      <c r="D110" s="219" t="s">
        <v>276</v>
      </c>
      <c r="E110" s="219" t="s">
        <v>426</v>
      </c>
    </row>
    <row r="111" spans="2:6" ht="57.6" x14ac:dyDescent="0.3">
      <c r="B111" s="220">
        <v>18</v>
      </c>
      <c r="C111" s="220" t="s">
        <v>418</v>
      </c>
      <c r="D111" s="229" t="s">
        <v>419</v>
      </c>
      <c r="E111" s="48"/>
    </row>
    <row r="112" spans="2:6" ht="72" customHeight="1" x14ac:dyDescent="0.3">
      <c r="B112" s="220">
        <v>19</v>
      </c>
      <c r="C112" s="220" t="s">
        <v>328</v>
      </c>
      <c r="D112" s="221" t="s">
        <v>329</v>
      </c>
      <c r="E112" s="48"/>
    </row>
    <row r="113" spans="2:6" ht="28.8" x14ac:dyDescent="0.3">
      <c r="B113" s="220">
        <v>20</v>
      </c>
      <c r="C113" s="220" t="s">
        <v>330</v>
      </c>
      <c r="D113" s="221" t="s">
        <v>331</v>
      </c>
      <c r="E113" s="48"/>
    </row>
    <row r="114" spans="2:6" ht="28.8" x14ac:dyDescent="0.3">
      <c r="B114" s="220">
        <v>21</v>
      </c>
      <c r="C114" s="220" t="s">
        <v>332</v>
      </c>
      <c r="D114" s="221" t="s">
        <v>333</v>
      </c>
      <c r="E114" s="48"/>
    </row>
    <row r="115" spans="2:6" ht="61.5" customHeight="1" x14ac:dyDescent="0.3">
      <c r="B115" s="224">
        <v>22</v>
      </c>
      <c r="C115" s="224" t="s">
        <v>334</v>
      </c>
      <c r="D115" s="225" t="s">
        <v>335</v>
      </c>
      <c r="E115" s="225"/>
    </row>
    <row r="116" spans="2:6" ht="72" x14ac:dyDescent="0.3">
      <c r="B116" s="220">
        <v>23</v>
      </c>
      <c r="C116" s="220" t="s">
        <v>523</v>
      </c>
      <c r="D116" s="229" t="s">
        <v>522</v>
      </c>
      <c r="E116" s="48"/>
    </row>
    <row r="117" spans="2:6" ht="43.2" x14ac:dyDescent="0.3">
      <c r="B117" s="220">
        <v>24</v>
      </c>
      <c r="C117" s="220" t="s">
        <v>336</v>
      </c>
      <c r="D117" s="229" t="s">
        <v>337</v>
      </c>
      <c r="E117" s="48"/>
    </row>
    <row r="118" spans="2:6" ht="43.2" x14ac:dyDescent="0.3">
      <c r="B118" s="220">
        <v>25</v>
      </c>
      <c r="C118" s="220" t="s">
        <v>420</v>
      </c>
      <c r="D118" s="229" t="s">
        <v>455</v>
      </c>
      <c r="E118" s="48"/>
    </row>
    <row r="119" spans="2:6" ht="28.8" x14ac:dyDescent="0.3">
      <c r="B119" s="220">
        <v>26</v>
      </c>
      <c r="C119" s="220" t="s">
        <v>421</v>
      </c>
      <c r="D119" s="229" t="s">
        <v>331</v>
      </c>
      <c r="E119" s="48"/>
    </row>
    <row r="120" spans="2:6" ht="43.65" customHeight="1" x14ac:dyDescent="0.3">
      <c r="F120" s="1" t="s">
        <v>517</v>
      </c>
    </row>
    <row r="121" spans="2:6" ht="39" customHeight="1" x14ac:dyDescent="0.3">
      <c r="B121" s="237"/>
      <c r="C121" s="237"/>
      <c r="D121" s="245"/>
      <c r="F121" s="183" t="s">
        <v>615</v>
      </c>
    </row>
    <row r="122" spans="2:6" ht="15" customHeight="1" x14ac:dyDescent="0.3">
      <c r="B122" s="237"/>
      <c r="C122" s="237"/>
      <c r="D122" s="238"/>
    </row>
    <row r="123" spans="2:6" ht="18" customHeight="1" x14ac:dyDescent="0.3">
      <c r="B123" s="219" t="s">
        <v>274</v>
      </c>
      <c r="C123" s="219" t="s">
        <v>275</v>
      </c>
      <c r="D123" s="219" t="s">
        <v>276</v>
      </c>
      <c r="E123" s="219" t="s">
        <v>426</v>
      </c>
    </row>
    <row r="124" spans="2:6" ht="43.2" x14ac:dyDescent="0.3">
      <c r="B124" s="220">
        <v>27</v>
      </c>
      <c r="C124" s="220" t="s">
        <v>422</v>
      </c>
      <c r="D124" s="229" t="s">
        <v>333</v>
      </c>
      <c r="E124" s="48"/>
    </row>
    <row r="125" spans="2:6" ht="75" customHeight="1" x14ac:dyDescent="0.3">
      <c r="B125" s="224">
        <v>28</v>
      </c>
      <c r="C125" s="224" t="s">
        <v>338</v>
      </c>
      <c r="D125" s="227" t="s">
        <v>339</v>
      </c>
      <c r="E125" s="227"/>
    </row>
    <row r="126" spans="2:6" ht="91.5" customHeight="1" x14ac:dyDescent="0.3">
      <c r="B126" s="224">
        <v>29</v>
      </c>
      <c r="C126" s="224" t="s">
        <v>340</v>
      </c>
      <c r="D126" s="225" t="s">
        <v>341</v>
      </c>
      <c r="E126" s="227"/>
    </row>
    <row r="128" spans="2:6" ht="15" x14ac:dyDescent="0.3">
      <c r="B128" s="218" t="s">
        <v>342</v>
      </c>
      <c r="C128" s="218" t="s">
        <v>28</v>
      </c>
      <c r="D128" s="218"/>
    </row>
    <row r="129" spans="2:6" ht="33.75" customHeight="1" x14ac:dyDescent="0.3">
      <c r="B129" s="3" t="s">
        <v>343</v>
      </c>
    </row>
    <row r="130" spans="2:6" ht="18" customHeight="1" x14ac:dyDescent="0.3">
      <c r="B130" s="219" t="s">
        <v>274</v>
      </c>
      <c r="C130" s="219" t="s">
        <v>275</v>
      </c>
      <c r="D130" s="219" t="s">
        <v>276</v>
      </c>
      <c r="E130" s="219" t="s">
        <v>426</v>
      </c>
    </row>
    <row r="131" spans="2:6" ht="43.2" x14ac:dyDescent="0.3">
      <c r="B131" s="224">
        <v>30</v>
      </c>
      <c r="C131" s="224" t="s">
        <v>344</v>
      </c>
      <c r="D131" s="227" t="s">
        <v>345</v>
      </c>
      <c r="E131" s="227"/>
    </row>
    <row r="132" spans="2:6" ht="72.75" customHeight="1" x14ac:dyDescent="0.3">
      <c r="B132" s="224">
        <v>31</v>
      </c>
      <c r="C132" s="224" t="s">
        <v>346</v>
      </c>
      <c r="D132" s="227" t="s">
        <v>437</v>
      </c>
      <c r="E132" s="227"/>
    </row>
    <row r="133" spans="2:6" ht="88.5" customHeight="1" x14ac:dyDescent="0.3">
      <c r="B133" s="224">
        <v>32</v>
      </c>
      <c r="C133" s="224" t="s">
        <v>423</v>
      </c>
      <c r="D133" s="227" t="s">
        <v>504</v>
      </c>
      <c r="E133" s="227"/>
    </row>
    <row r="134" spans="2:6" ht="22.65" customHeight="1" x14ac:dyDescent="0.3">
      <c r="B134" s="237"/>
      <c r="C134" s="237"/>
      <c r="D134" s="238"/>
      <c r="F134" s="1" t="s">
        <v>518</v>
      </c>
    </row>
    <row r="135" spans="2:6" ht="39" customHeight="1" x14ac:dyDescent="0.3">
      <c r="B135" s="237"/>
      <c r="C135" s="237"/>
      <c r="D135" s="245"/>
      <c r="F135" s="183" t="s">
        <v>615</v>
      </c>
    </row>
    <row r="136" spans="2:6" ht="15" customHeight="1" x14ac:dyDescent="0.3">
      <c r="B136" s="237"/>
      <c r="C136" s="237"/>
      <c r="D136" s="238"/>
    </row>
    <row r="137" spans="2:6" ht="18" customHeight="1" x14ac:dyDescent="0.3">
      <c r="B137" s="219" t="s">
        <v>274</v>
      </c>
      <c r="C137" s="219" t="s">
        <v>275</v>
      </c>
      <c r="D137" s="219" t="s">
        <v>276</v>
      </c>
      <c r="E137" s="219" t="s">
        <v>426</v>
      </c>
    </row>
    <row r="138" spans="2:6" ht="60.75" customHeight="1" x14ac:dyDescent="0.3">
      <c r="B138" s="222">
        <v>33</v>
      </c>
      <c r="C138" s="222" t="s">
        <v>347</v>
      </c>
      <c r="D138" s="226" t="s">
        <v>348</v>
      </c>
      <c r="E138" s="48"/>
    </row>
    <row r="139" spans="2:6" ht="71.25" customHeight="1" x14ac:dyDescent="0.3">
      <c r="B139" s="224">
        <v>34</v>
      </c>
      <c r="C139" s="224" t="s">
        <v>349</v>
      </c>
      <c r="D139" s="227" t="s">
        <v>350</v>
      </c>
      <c r="E139" s="227"/>
    </row>
    <row r="142" spans="2:6" ht="15" x14ac:dyDescent="0.3">
      <c r="B142" s="218" t="s">
        <v>351</v>
      </c>
      <c r="C142" s="218" t="s">
        <v>352</v>
      </c>
      <c r="D142" s="218"/>
    </row>
    <row r="143" spans="2:6" ht="32.25" customHeight="1" x14ac:dyDescent="0.3">
      <c r="B143" s="3" t="s">
        <v>353</v>
      </c>
    </row>
    <row r="144" spans="2:6" ht="18" customHeight="1" x14ac:dyDescent="0.3">
      <c r="B144" s="219" t="s">
        <v>274</v>
      </c>
      <c r="C144" s="219" t="s">
        <v>275</v>
      </c>
      <c r="D144" s="219" t="s">
        <v>276</v>
      </c>
      <c r="E144" s="219" t="s">
        <v>426</v>
      </c>
    </row>
    <row r="145" spans="2:6" ht="79.5" customHeight="1" x14ac:dyDescent="0.3">
      <c r="B145" s="220">
        <v>35</v>
      </c>
      <c r="C145" s="220" t="s">
        <v>354</v>
      </c>
      <c r="D145" s="221" t="s">
        <v>355</v>
      </c>
      <c r="E145" s="48"/>
    </row>
    <row r="146" spans="2:6" ht="36" customHeight="1" x14ac:dyDescent="0.3">
      <c r="B146" s="220">
        <v>36</v>
      </c>
      <c r="C146" s="220" t="s">
        <v>356</v>
      </c>
      <c r="D146" s="221" t="s">
        <v>357</v>
      </c>
      <c r="E146" s="48"/>
    </row>
    <row r="147" spans="2:6" ht="47.25" customHeight="1" x14ac:dyDescent="0.3">
      <c r="B147" s="242">
        <v>37</v>
      </c>
      <c r="C147" s="242" t="s">
        <v>358</v>
      </c>
      <c r="D147" s="243" t="s">
        <v>359</v>
      </c>
      <c r="E147" s="48"/>
    </row>
    <row r="148" spans="2:6" ht="81.75" customHeight="1" x14ac:dyDescent="0.3">
      <c r="B148" s="224">
        <v>38</v>
      </c>
      <c r="C148" s="224" t="s">
        <v>360</v>
      </c>
      <c r="D148" s="225" t="s">
        <v>361</v>
      </c>
      <c r="E148" s="225"/>
    </row>
    <row r="149" spans="2:6" ht="50.4" customHeight="1" x14ac:dyDescent="0.3">
      <c r="B149" s="237"/>
      <c r="C149" s="237"/>
      <c r="D149" s="238"/>
      <c r="F149" s="1" t="s">
        <v>519</v>
      </c>
    </row>
    <row r="150" spans="2:6" ht="39" customHeight="1" x14ac:dyDescent="0.3">
      <c r="B150" s="237"/>
      <c r="C150" s="237"/>
      <c r="D150" s="245"/>
      <c r="F150" s="183" t="s">
        <v>615</v>
      </c>
    </row>
    <row r="151" spans="2:6" ht="15" customHeight="1" x14ac:dyDescent="0.3">
      <c r="B151" s="237"/>
      <c r="C151" s="237"/>
      <c r="D151" s="238"/>
      <c r="E151" s="183"/>
      <c r="F151" s="183"/>
    </row>
    <row r="152" spans="2:6" ht="18" customHeight="1" x14ac:dyDescent="0.3">
      <c r="B152" s="219" t="s">
        <v>274</v>
      </c>
      <c r="C152" s="219" t="s">
        <v>275</v>
      </c>
      <c r="D152" s="219" t="s">
        <v>276</v>
      </c>
      <c r="E152" s="219" t="s">
        <v>426</v>
      </c>
    </row>
    <row r="153" spans="2:6" ht="72.75" customHeight="1" x14ac:dyDescent="0.3">
      <c r="B153" s="224">
        <v>39</v>
      </c>
      <c r="C153" s="224" t="s">
        <v>362</v>
      </c>
      <c r="D153" s="225" t="s">
        <v>363</v>
      </c>
      <c r="E153" s="225"/>
    </row>
    <row r="154" spans="2:6" ht="28.8" x14ac:dyDescent="0.3">
      <c r="B154" s="220">
        <v>40</v>
      </c>
      <c r="C154" s="220" t="s">
        <v>364</v>
      </c>
      <c r="D154" s="229" t="s">
        <v>365</v>
      </c>
      <c r="E154" s="48"/>
    </row>
    <row r="155" spans="2:6" ht="66" customHeight="1" x14ac:dyDescent="0.3">
      <c r="B155" s="224">
        <v>41</v>
      </c>
      <c r="C155" s="224" t="s">
        <v>368</v>
      </c>
      <c r="D155" s="227" t="s">
        <v>369</v>
      </c>
      <c r="E155" s="227"/>
    </row>
    <row r="156" spans="2:6" ht="47.4" customHeight="1" x14ac:dyDescent="0.3">
      <c r="B156" s="237"/>
      <c r="C156" s="237"/>
      <c r="D156" s="245"/>
      <c r="E156" s="1"/>
      <c r="F156" s="1"/>
    </row>
    <row r="157" spans="2:6" ht="306" customHeight="1" x14ac:dyDescent="0.3">
      <c r="B157" s="237"/>
      <c r="C157" s="237"/>
      <c r="D157" s="245"/>
      <c r="F157" s="1" t="s">
        <v>520</v>
      </c>
    </row>
    <row r="158" spans="2:6" ht="39" customHeight="1" x14ac:dyDescent="0.3">
      <c r="B158" s="237"/>
      <c r="C158" s="237"/>
      <c r="D158" s="245"/>
      <c r="F158" s="183" t="s">
        <v>615</v>
      </c>
    </row>
    <row r="159" spans="2:6" x14ac:dyDescent="0.3">
      <c r="B159" s="235"/>
    </row>
    <row r="160" spans="2:6" ht="15" x14ac:dyDescent="0.3">
      <c r="B160" s="218" t="s">
        <v>370</v>
      </c>
      <c r="C160" s="218" t="s">
        <v>371</v>
      </c>
      <c r="D160" s="218"/>
    </row>
    <row r="161" spans="2:5" ht="68.25" customHeight="1" x14ac:dyDescent="0.3">
      <c r="B161" s="336" t="s">
        <v>372</v>
      </c>
      <c r="C161" s="336"/>
      <c r="D161" s="336"/>
    </row>
    <row r="162" spans="2:5" ht="18" customHeight="1" x14ac:dyDescent="0.3">
      <c r="B162" s="219" t="s">
        <v>274</v>
      </c>
      <c r="C162" s="219" t="s">
        <v>275</v>
      </c>
      <c r="D162" s="219" t="s">
        <v>276</v>
      </c>
      <c r="E162" s="219" t="s">
        <v>426</v>
      </c>
    </row>
    <row r="163" spans="2:5" x14ac:dyDescent="0.3">
      <c r="B163" s="343">
        <v>47</v>
      </c>
      <c r="C163" s="337" t="s">
        <v>642</v>
      </c>
      <c r="D163" s="249"/>
      <c r="E163" s="249"/>
    </row>
    <row r="164" spans="2:5" x14ac:dyDescent="0.3">
      <c r="B164" s="343"/>
      <c r="C164" s="338"/>
      <c r="D164" s="232"/>
      <c r="E164" s="250"/>
    </row>
    <row r="165" spans="2:5" x14ac:dyDescent="0.3">
      <c r="B165" s="343"/>
      <c r="C165" s="338"/>
      <c r="D165" s="232"/>
      <c r="E165" s="250"/>
    </row>
    <row r="166" spans="2:5" x14ac:dyDescent="0.3">
      <c r="B166" s="343"/>
      <c r="C166" s="338"/>
      <c r="D166" s="232"/>
      <c r="E166" s="250"/>
    </row>
    <row r="167" spans="2:5" x14ac:dyDescent="0.3">
      <c r="B167" s="343"/>
      <c r="C167" s="338"/>
      <c r="D167" s="232"/>
      <c r="E167" s="250"/>
    </row>
    <row r="168" spans="2:5" x14ac:dyDescent="0.3">
      <c r="B168" s="343"/>
      <c r="C168" s="338"/>
      <c r="D168" s="232"/>
      <c r="E168" s="250"/>
    </row>
    <row r="169" spans="2:5" x14ac:dyDescent="0.3">
      <c r="B169" s="343"/>
      <c r="C169" s="338"/>
      <c r="D169" s="232" t="s">
        <v>373</v>
      </c>
      <c r="E169" s="250"/>
    </row>
    <row r="170" spans="2:5" ht="16.2" x14ac:dyDescent="0.3">
      <c r="B170" s="343"/>
      <c r="C170" s="338"/>
      <c r="D170" s="232" t="s">
        <v>374</v>
      </c>
      <c r="E170" s="250"/>
    </row>
    <row r="171" spans="2:5" ht="16.2" x14ac:dyDescent="0.3">
      <c r="B171" s="343"/>
      <c r="C171" s="338"/>
      <c r="D171" s="232" t="s">
        <v>375</v>
      </c>
      <c r="E171" s="250"/>
    </row>
    <row r="172" spans="2:5" ht="16.2" x14ac:dyDescent="0.3">
      <c r="B172" s="343"/>
      <c r="C172" s="338"/>
      <c r="D172" s="232" t="s">
        <v>376</v>
      </c>
      <c r="E172" s="250"/>
    </row>
    <row r="173" spans="2:5" ht="16.2" x14ac:dyDescent="0.3">
      <c r="B173" s="343"/>
      <c r="C173" s="338"/>
      <c r="D173" s="232" t="s">
        <v>377</v>
      </c>
      <c r="E173" s="250"/>
    </row>
    <row r="174" spans="2:5" ht="39" customHeight="1" x14ac:dyDescent="0.3">
      <c r="B174" s="343"/>
      <c r="C174" s="339"/>
      <c r="D174" s="234" t="s">
        <v>378</v>
      </c>
      <c r="E174" s="251"/>
    </row>
    <row r="176" spans="2:5" ht="195.9" customHeight="1" x14ac:dyDescent="0.3">
      <c r="B176" s="237"/>
      <c r="C176" s="237"/>
      <c r="D176" s="245"/>
    </row>
    <row r="177" spans="2:6" ht="15" customHeight="1" x14ac:dyDescent="0.3">
      <c r="B177" s="237"/>
      <c r="C177" s="237"/>
      <c r="D177" s="245"/>
      <c r="F177" s="1" t="s">
        <v>521</v>
      </c>
    </row>
    <row r="178" spans="2:6" ht="39" customHeight="1" x14ac:dyDescent="0.3">
      <c r="B178" s="237"/>
      <c r="C178" s="237"/>
      <c r="D178" s="245"/>
      <c r="F178" s="183" t="s">
        <v>615</v>
      </c>
    </row>
    <row r="179" spans="2:6" ht="15" customHeight="1" x14ac:dyDescent="0.3">
      <c r="B179" s="237"/>
      <c r="C179" s="237"/>
      <c r="D179" s="245"/>
      <c r="E179" s="1"/>
      <c r="F179" s="1"/>
    </row>
    <row r="180" spans="2:6" ht="18" customHeight="1" x14ac:dyDescent="0.3">
      <c r="B180" s="230" t="s">
        <v>274</v>
      </c>
      <c r="C180" s="230" t="s">
        <v>275</v>
      </c>
      <c r="D180" s="230" t="s">
        <v>276</v>
      </c>
      <c r="E180" s="230" t="s">
        <v>426</v>
      </c>
    </row>
    <row r="181" spans="2:6" ht="42.75" customHeight="1" x14ac:dyDescent="0.3">
      <c r="B181" s="337">
        <v>50</v>
      </c>
      <c r="C181" s="337" t="s">
        <v>379</v>
      </c>
      <c r="D181" s="231" t="s">
        <v>380</v>
      </c>
      <c r="E181" s="249"/>
    </row>
    <row r="182" spans="2:6" x14ac:dyDescent="0.3">
      <c r="B182" s="338"/>
      <c r="C182" s="338"/>
      <c r="D182" s="232"/>
      <c r="E182" s="250"/>
    </row>
    <row r="183" spans="2:6" x14ac:dyDescent="0.3">
      <c r="B183" s="338"/>
      <c r="C183" s="338"/>
      <c r="D183" s="232"/>
      <c r="E183" s="250"/>
    </row>
    <row r="184" spans="2:6" x14ac:dyDescent="0.3">
      <c r="B184" s="338"/>
      <c r="C184" s="338"/>
      <c r="D184" s="232"/>
      <c r="E184" s="250"/>
    </row>
    <row r="185" spans="2:6" x14ac:dyDescent="0.3">
      <c r="B185" s="338"/>
      <c r="C185" s="338"/>
      <c r="D185" s="232"/>
      <c r="E185" s="250"/>
    </row>
    <row r="186" spans="2:6" x14ac:dyDescent="0.3">
      <c r="B186" s="338"/>
      <c r="C186" s="338"/>
      <c r="D186" s="232"/>
      <c r="E186" s="250"/>
    </row>
    <row r="187" spans="2:6" x14ac:dyDescent="0.3">
      <c r="B187" s="338"/>
      <c r="C187" s="338"/>
      <c r="D187" s="232"/>
      <c r="E187" s="250"/>
    </row>
    <row r="188" spans="2:6" x14ac:dyDescent="0.3">
      <c r="B188" s="338"/>
      <c r="C188" s="338"/>
      <c r="D188" s="232" t="s">
        <v>381</v>
      </c>
      <c r="E188" s="250"/>
    </row>
    <row r="189" spans="2:6" ht="16.2" x14ac:dyDescent="0.3">
      <c r="B189" s="338"/>
      <c r="C189" s="338"/>
      <c r="D189" s="232" t="s">
        <v>382</v>
      </c>
      <c r="E189" s="250"/>
    </row>
    <row r="190" spans="2:6" ht="16.2" x14ac:dyDescent="0.3">
      <c r="B190" s="338"/>
      <c r="C190" s="338"/>
      <c r="D190" s="232" t="s">
        <v>383</v>
      </c>
      <c r="E190" s="250"/>
    </row>
    <row r="191" spans="2:6" ht="16.2" x14ac:dyDescent="0.3">
      <c r="B191" s="338"/>
      <c r="C191" s="338"/>
      <c r="D191" s="232" t="s">
        <v>384</v>
      </c>
      <c r="E191" s="250"/>
    </row>
    <row r="192" spans="2:6" ht="16.2" x14ac:dyDescent="0.3">
      <c r="B192" s="338"/>
      <c r="C192" s="338"/>
      <c r="D192" s="232" t="s">
        <v>385</v>
      </c>
      <c r="E192" s="250"/>
    </row>
    <row r="193" spans="2:6" ht="37.5" customHeight="1" x14ac:dyDescent="0.3">
      <c r="B193" s="339"/>
      <c r="C193" s="339"/>
      <c r="D193" s="234" t="s">
        <v>386</v>
      </c>
      <c r="E193" s="251"/>
    </row>
    <row r="194" spans="2:6" ht="86.4" x14ac:dyDescent="0.3">
      <c r="B194" s="224">
        <v>51</v>
      </c>
      <c r="C194" s="224" t="s">
        <v>491</v>
      </c>
      <c r="D194" s="227" t="s">
        <v>492</v>
      </c>
      <c r="E194" s="227"/>
    </row>
    <row r="195" spans="2:6" ht="162.9" customHeight="1" x14ac:dyDescent="0.3">
      <c r="B195" s="237"/>
      <c r="C195" s="237"/>
      <c r="D195" s="245"/>
      <c r="E195" s="245"/>
    </row>
    <row r="196" spans="2:6" ht="15" customHeight="1" x14ac:dyDescent="0.3">
      <c r="B196" s="247"/>
      <c r="C196" s="237"/>
      <c r="D196" s="245"/>
      <c r="F196" s="1" t="s">
        <v>510</v>
      </c>
    </row>
    <row r="197" spans="2:6" ht="39" customHeight="1" x14ac:dyDescent="0.3">
      <c r="B197" s="237"/>
      <c r="C197" s="237"/>
      <c r="D197" s="245"/>
      <c r="F197" s="183" t="s">
        <v>615</v>
      </c>
    </row>
    <row r="198" spans="2:6" ht="15" customHeight="1" x14ac:dyDescent="0.3">
      <c r="B198" s="247"/>
      <c r="C198" s="237"/>
      <c r="D198" s="245"/>
      <c r="E198" s="1"/>
      <c r="F198" s="1"/>
    </row>
    <row r="199" spans="2:6" ht="15" x14ac:dyDescent="0.3">
      <c r="B199" s="218" t="s">
        <v>387</v>
      </c>
      <c r="C199" s="218" t="s">
        <v>29</v>
      </c>
    </row>
    <row r="200" spans="2:6" ht="45.75" customHeight="1" x14ac:dyDescent="0.3">
      <c r="B200" s="336" t="s">
        <v>388</v>
      </c>
      <c r="C200" s="336"/>
      <c r="D200" s="336"/>
    </row>
    <row r="201" spans="2:6" ht="18" customHeight="1" x14ac:dyDescent="0.3">
      <c r="B201" s="230" t="s">
        <v>274</v>
      </c>
      <c r="C201" s="230" t="s">
        <v>275</v>
      </c>
      <c r="D201" s="230" t="s">
        <v>276</v>
      </c>
      <c r="E201" s="230" t="s">
        <v>426</v>
      </c>
    </row>
    <row r="202" spans="2:6" ht="99.75" customHeight="1" x14ac:dyDescent="0.3">
      <c r="B202" s="224">
        <v>53</v>
      </c>
      <c r="C202" s="224" t="s">
        <v>389</v>
      </c>
      <c r="D202" s="227" t="s">
        <v>390</v>
      </c>
      <c r="E202" s="227"/>
    </row>
    <row r="203" spans="2:6" ht="99" customHeight="1" x14ac:dyDescent="0.3">
      <c r="B203" s="233">
        <v>54</v>
      </c>
      <c r="C203" s="233" t="s">
        <v>391</v>
      </c>
      <c r="D203" s="244" t="s">
        <v>392</v>
      </c>
      <c r="E203" s="244"/>
    </row>
    <row r="204" spans="2:6" ht="108.75" customHeight="1" x14ac:dyDescent="0.3">
      <c r="B204" s="224">
        <v>55</v>
      </c>
      <c r="C204" s="224" t="s">
        <v>393</v>
      </c>
      <c r="D204" s="227" t="s">
        <v>394</v>
      </c>
      <c r="E204" s="244"/>
    </row>
    <row r="205" spans="2:6" ht="102" customHeight="1" x14ac:dyDescent="0.3">
      <c r="B205" s="224">
        <v>56</v>
      </c>
      <c r="C205" s="224" t="s">
        <v>395</v>
      </c>
      <c r="D205" s="227" t="s">
        <v>396</v>
      </c>
      <c r="E205" s="244"/>
    </row>
    <row r="206" spans="2:6" ht="36.9" customHeight="1" x14ac:dyDescent="0.3">
      <c r="B206" s="247"/>
      <c r="C206" s="237"/>
      <c r="D206" s="245"/>
    </row>
    <row r="207" spans="2:6" ht="15" customHeight="1" x14ac:dyDescent="0.3">
      <c r="B207" s="247"/>
      <c r="C207" s="237"/>
      <c r="D207" s="245"/>
      <c r="F207" s="1" t="s">
        <v>509</v>
      </c>
    </row>
    <row r="208" spans="2:6" ht="39" customHeight="1" x14ac:dyDescent="0.3">
      <c r="B208" s="237"/>
      <c r="C208" s="237"/>
      <c r="D208" s="245"/>
      <c r="F208" s="183" t="s">
        <v>615</v>
      </c>
    </row>
    <row r="209" spans="2:6" ht="15" customHeight="1" x14ac:dyDescent="0.3">
      <c r="B209" s="247"/>
      <c r="C209" s="237"/>
      <c r="D209" s="245"/>
      <c r="E209" s="1"/>
      <c r="F209" s="1"/>
    </row>
    <row r="210" spans="2:6" ht="18" customHeight="1" x14ac:dyDescent="0.3">
      <c r="B210" s="219" t="s">
        <v>274</v>
      </c>
      <c r="C210" s="219" t="s">
        <v>275</v>
      </c>
      <c r="D210" s="219" t="s">
        <v>276</v>
      </c>
      <c r="E210" s="219" t="s">
        <v>426</v>
      </c>
    </row>
    <row r="211" spans="2:6" ht="59.25" customHeight="1" x14ac:dyDescent="0.3">
      <c r="B211" s="224">
        <v>57</v>
      </c>
      <c r="C211" s="224" t="s">
        <v>397</v>
      </c>
      <c r="D211" s="227" t="s">
        <v>398</v>
      </c>
      <c r="E211" s="244"/>
    </row>
    <row r="212" spans="2:6" ht="72.75" customHeight="1" x14ac:dyDescent="0.3">
      <c r="B212" s="220">
        <v>58</v>
      </c>
      <c r="C212" s="220" t="s">
        <v>399</v>
      </c>
      <c r="D212" s="229" t="s">
        <v>400</v>
      </c>
      <c r="E212" s="48"/>
    </row>
    <row r="213" spans="2:6" ht="97.5" customHeight="1" x14ac:dyDescent="0.3">
      <c r="B213" s="224">
        <v>59</v>
      </c>
      <c r="C213" s="224" t="s">
        <v>401</v>
      </c>
      <c r="D213" s="227" t="s">
        <v>402</v>
      </c>
      <c r="E213" s="227"/>
    </row>
    <row r="214" spans="2:6" ht="75" customHeight="1" x14ac:dyDescent="0.3">
      <c r="B214" s="224">
        <v>60</v>
      </c>
      <c r="C214" s="224" t="s">
        <v>403</v>
      </c>
      <c r="D214" s="227" t="s">
        <v>404</v>
      </c>
      <c r="E214" s="227"/>
    </row>
    <row r="215" spans="2:6" ht="88.5" customHeight="1" x14ac:dyDescent="0.3">
      <c r="B215" s="224">
        <v>61</v>
      </c>
      <c r="C215" s="224" t="s">
        <v>405</v>
      </c>
      <c r="D215" s="227" t="s">
        <v>406</v>
      </c>
      <c r="E215" s="227"/>
    </row>
    <row r="216" spans="2:6" ht="86.4" x14ac:dyDescent="0.3">
      <c r="B216" s="224">
        <v>62</v>
      </c>
      <c r="C216" s="224" t="s">
        <v>407</v>
      </c>
      <c r="D216" s="227" t="s">
        <v>408</v>
      </c>
      <c r="E216" s="227"/>
    </row>
    <row r="217" spans="2:6" ht="24.15" customHeight="1" x14ac:dyDescent="0.3">
      <c r="B217" s="237"/>
      <c r="C217" s="237"/>
      <c r="D217" s="245"/>
      <c r="E217" s="245"/>
    </row>
    <row r="218" spans="2:6" x14ac:dyDescent="0.3">
      <c r="F218" s="1" t="s">
        <v>508</v>
      </c>
    </row>
    <row r="219" spans="2:6" ht="39" customHeight="1" x14ac:dyDescent="0.3">
      <c r="B219" s="237"/>
      <c r="C219" s="237"/>
      <c r="D219" s="245"/>
      <c r="F219" s="183" t="s">
        <v>615</v>
      </c>
    </row>
    <row r="220" spans="2:6" x14ac:dyDescent="0.3">
      <c r="E220" s="1"/>
      <c r="F220" s="1"/>
    </row>
    <row r="221" spans="2:6" ht="18" customHeight="1" x14ac:dyDescent="0.3">
      <c r="B221" s="219" t="s">
        <v>274</v>
      </c>
      <c r="C221" s="219" t="s">
        <v>275</v>
      </c>
      <c r="D221" s="219" t="s">
        <v>276</v>
      </c>
      <c r="E221" s="219" t="s">
        <v>426</v>
      </c>
    </row>
    <row r="222" spans="2:6" ht="89.25" customHeight="1" x14ac:dyDescent="0.3">
      <c r="B222" s="224">
        <v>63</v>
      </c>
      <c r="C222" s="224" t="s">
        <v>493</v>
      </c>
      <c r="D222" s="227" t="s">
        <v>502</v>
      </c>
      <c r="E222" s="227"/>
    </row>
    <row r="223" spans="2:6" ht="33.75" customHeight="1" x14ac:dyDescent="0.3">
      <c r="B223" s="344"/>
      <c r="C223" s="344"/>
      <c r="D223" s="344"/>
    </row>
    <row r="224" spans="2:6" ht="33.75" customHeight="1" x14ac:dyDescent="0.3">
      <c r="B224" s="236"/>
      <c r="C224" s="236"/>
      <c r="D224" s="236"/>
    </row>
    <row r="225" spans="2:6" ht="33.75" customHeight="1" x14ac:dyDescent="0.3">
      <c r="B225" s="236"/>
      <c r="C225" s="236"/>
      <c r="D225" s="236"/>
    </row>
    <row r="226" spans="2:6" ht="33.75" customHeight="1" x14ac:dyDescent="0.3">
      <c r="B226" s="236"/>
      <c r="C226" s="236"/>
      <c r="D226" s="236"/>
    </row>
    <row r="227" spans="2:6" ht="33.75" customHeight="1" x14ac:dyDescent="0.3">
      <c r="B227" s="236"/>
      <c r="C227" s="236"/>
      <c r="D227" s="236"/>
    </row>
    <row r="228" spans="2:6" ht="33.75" customHeight="1" x14ac:dyDescent="0.3">
      <c r="B228" s="236"/>
      <c r="C228" s="236"/>
      <c r="D228" s="236"/>
    </row>
    <row r="229" spans="2:6" ht="33.75" customHeight="1" x14ac:dyDescent="0.3">
      <c r="B229" s="236"/>
      <c r="C229" s="236"/>
      <c r="D229" s="236"/>
    </row>
    <row r="230" spans="2:6" ht="33.75" customHeight="1" x14ac:dyDescent="0.3">
      <c r="B230" s="344" t="s">
        <v>409</v>
      </c>
      <c r="C230" s="344"/>
      <c r="D230" s="344"/>
    </row>
    <row r="231" spans="2:6" ht="144.9" customHeight="1" x14ac:dyDescent="0.3"/>
    <row r="232" spans="2:6" ht="18.149999999999999" customHeight="1" x14ac:dyDescent="0.3">
      <c r="B232" s="237"/>
      <c r="C232" s="237"/>
      <c r="D232" s="245"/>
      <c r="F232" s="1" t="s">
        <v>507</v>
      </c>
    </row>
    <row r="233" spans="2:6" ht="39" customHeight="1" x14ac:dyDescent="0.3">
      <c r="B233" s="237"/>
      <c r="C233" s="237"/>
      <c r="D233" s="245"/>
      <c r="F233" s="183" t="s">
        <v>615</v>
      </c>
    </row>
    <row r="234" spans="2:6" x14ac:dyDescent="0.3">
      <c r="B234" s="237"/>
      <c r="C234" s="237"/>
      <c r="D234" s="245"/>
    </row>
    <row r="235" spans="2:6" ht="18" customHeight="1" x14ac:dyDescent="0.3">
      <c r="B235" s="219" t="s">
        <v>274</v>
      </c>
      <c r="C235" s="219" t="s">
        <v>275</v>
      </c>
      <c r="D235" s="219" t="s">
        <v>276</v>
      </c>
      <c r="E235" s="219" t="s">
        <v>426</v>
      </c>
    </row>
    <row r="236" spans="2:6" ht="86.4" x14ac:dyDescent="0.3">
      <c r="B236" s="224">
        <v>65</v>
      </c>
      <c r="C236" s="224" t="s">
        <v>494</v>
      </c>
      <c r="D236" s="227" t="s">
        <v>499</v>
      </c>
      <c r="E236" s="227"/>
    </row>
    <row r="237" spans="2:6" ht="72" x14ac:dyDescent="0.3">
      <c r="B237" s="224">
        <v>66</v>
      </c>
      <c r="C237" s="224" t="s">
        <v>496</v>
      </c>
      <c r="D237" s="227" t="s">
        <v>500</v>
      </c>
      <c r="E237" s="227"/>
    </row>
    <row r="238" spans="2:6" ht="57.6" x14ac:dyDescent="0.3">
      <c r="B238" s="224">
        <v>67</v>
      </c>
      <c r="C238" s="224" t="s">
        <v>497</v>
      </c>
      <c r="D238" s="227" t="s">
        <v>498</v>
      </c>
      <c r="E238" s="227"/>
    </row>
    <row r="239" spans="2:6" ht="72" x14ac:dyDescent="0.3">
      <c r="B239" s="224">
        <v>68</v>
      </c>
      <c r="C239" s="224" t="s">
        <v>501</v>
      </c>
      <c r="D239" s="227" t="s">
        <v>503</v>
      </c>
      <c r="E239" s="227"/>
    </row>
    <row r="240" spans="2:6" ht="189" customHeight="1" x14ac:dyDescent="0.3">
      <c r="B240" s="245"/>
      <c r="C240" s="245"/>
      <c r="D240" s="245"/>
      <c r="E240" s="245"/>
    </row>
    <row r="241" spans="2:6" ht="18.149999999999999" customHeight="1" x14ac:dyDescent="0.3">
      <c r="B241" s="237"/>
      <c r="C241" s="237"/>
      <c r="D241" s="245"/>
      <c r="F241" s="1" t="s">
        <v>506</v>
      </c>
    </row>
    <row r="242" spans="2:6" ht="39" customHeight="1" x14ac:dyDescent="0.3">
      <c r="B242" s="237"/>
      <c r="C242" s="237"/>
      <c r="D242" s="245"/>
      <c r="F242" s="183" t="s">
        <v>615</v>
      </c>
    </row>
    <row r="243" spans="2:6" x14ac:dyDescent="0.3">
      <c r="B243" s="237"/>
      <c r="C243" s="237"/>
      <c r="D243" s="245"/>
    </row>
    <row r="244" spans="2:6" ht="15" x14ac:dyDescent="0.3">
      <c r="B244" s="218" t="s">
        <v>633</v>
      </c>
      <c r="C244" s="218" t="s">
        <v>634</v>
      </c>
    </row>
    <row r="245" spans="2:6" ht="48" customHeight="1" x14ac:dyDescent="0.3">
      <c r="B245" s="336" t="s">
        <v>635</v>
      </c>
      <c r="C245" s="336"/>
      <c r="D245" s="336"/>
    </row>
    <row r="246" spans="2:6" ht="18" customHeight="1" x14ac:dyDescent="0.3">
      <c r="B246" s="219" t="s">
        <v>274</v>
      </c>
      <c r="C246" s="219" t="s">
        <v>275</v>
      </c>
      <c r="D246" s="219" t="s">
        <v>276</v>
      </c>
      <c r="E246" s="219" t="s">
        <v>426</v>
      </c>
    </row>
    <row r="247" spans="2:6" ht="40.5" customHeight="1" x14ac:dyDescent="0.3">
      <c r="B247" s="337">
        <v>70</v>
      </c>
      <c r="C247" s="337" t="s">
        <v>636</v>
      </c>
      <c r="D247" s="340" t="s">
        <v>637</v>
      </c>
      <c r="E247" s="337"/>
    </row>
    <row r="248" spans="2:6" x14ac:dyDescent="0.3">
      <c r="B248" s="338"/>
      <c r="C248" s="338"/>
      <c r="D248" s="341"/>
      <c r="E248" s="338"/>
    </row>
    <row r="249" spans="2:6" ht="52.5" customHeight="1" x14ac:dyDescent="0.3">
      <c r="B249" s="339"/>
      <c r="C249" s="339"/>
      <c r="D249" s="342"/>
      <c r="E249" s="339"/>
    </row>
    <row r="250" spans="2:6" ht="77.25" customHeight="1" x14ac:dyDescent="0.3">
      <c r="B250" s="237"/>
      <c r="C250" s="237"/>
      <c r="D250" s="245"/>
    </row>
    <row r="251" spans="2:6" ht="59.25" customHeight="1" x14ac:dyDescent="0.3">
      <c r="B251" s="237"/>
      <c r="C251" s="237"/>
      <c r="D251" s="245"/>
      <c r="E251" s="245"/>
    </row>
    <row r="252" spans="2:6" ht="207.15" customHeight="1" x14ac:dyDescent="0.3">
      <c r="B252" s="237"/>
      <c r="C252" s="237"/>
      <c r="D252" s="245"/>
    </row>
    <row r="253" spans="2:6" ht="15" customHeight="1" x14ac:dyDescent="0.3">
      <c r="B253" s="237"/>
      <c r="C253" s="237"/>
      <c r="D253" s="245"/>
      <c r="F253" s="1" t="s">
        <v>505</v>
      </c>
    </row>
    <row r="255" spans="2:6" ht="39" customHeight="1" x14ac:dyDescent="0.3">
      <c r="B255" s="237"/>
      <c r="C255" s="237"/>
      <c r="D255" s="245"/>
      <c r="F255" s="183" t="s">
        <v>615</v>
      </c>
    </row>
    <row r="256" spans="2:6" x14ac:dyDescent="0.3">
      <c r="B256" s="237"/>
      <c r="C256" s="237"/>
      <c r="D256" s="245"/>
    </row>
    <row r="257" spans="2:5" ht="15" x14ac:dyDescent="0.3">
      <c r="B257" s="218" t="s">
        <v>631</v>
      </c>
      <c r="C257" s="218" t="s">
        <v>410</v>
      </c>
    </row>
    <row r="258" spans="2:5" ht="48" customHeight="1" x14ac:dyDescent="0.3">
      <c r="B258" s="336" t="s">
        <v>411</v>
      </c>
      <c r="C258" s="336"/>
      <c r="D258" s="336"/>
    </row>
    <row r="259" spans="2:5" ht="18" customHeight="1" x14ac:dyDescent="0.3">
      <c r="B259" s="219" t="s">
        <v>274</v>
      </c>
      <c r="C259" s="219" t="s">
        <v>275</v>
      </c>
      <c r="D259" s="219" t="s">
        <v>276</v>
      </c>
      <c r="E259" s="219" t="s">
        <v>426</v>
      </c>
    </row>
    <row r="260" spans="2:5" ht="40.5" customHeight="1" x14ac:dyDescent="0.3">
      <c r="B260" s="337">
        <v>42</v>
      </c>
      <c r="C260" s="337" t="s">
        <v>412</v>
      </c>
      <c r="D260" s="246" t="s">
        <v>413</v>
      </c>
      <c r="E260" s="337"/>
    </row>
    <row r="261" spans="2:5" ht="43.2" x14ac:dyDescent="0.3">
      <c r="B261" s="338"/>
      <c r="C261" s="338"/>
      <c r="D261" s="248" t="s">
        <v>457</v>
      </c>
      <c r="E261" s="338"/>
    </row>
    <row r="262" spans="2:5" x14ac:dyDescent="0.3">
      <c r="B262" s="339"/>
      <c r="C262" s="339"/>
      <c r="D262" s="239"/>
      <c r="E262" s="339"/>
    </row>
    <row r="263" spans="2:5" ht="77.25" customHeight="1" x14ac:dyDescent="0.3">
      <c r="B263" s="220">
        <v>43</v>
      </c>
      <c r="C263" s="220" t="s">
        <v>366</v>
      </c>
      <c r="D263" s="229" t="s">
        <v>367</v>
      </c>
      <c r="E263" s="48"/>
    </row>
    <row r="264" spans="2:5" ht="59.25" customHeight="1" x14ac:dyDescent="0.3">
      <c r="B264" s="233">
        <v>44</v>
      </c>
      <c r="C264" s="233" t="s">
        <v>414</v>
      </c>
      <c r="D264" s="239" t="s">
        <v>456</v>
      </c>
      <c r="E264" s="239"/>
    </row>
  </sheetData>
  <sheetProtection algorithmName="SHA-512" hashValue="zOmmTY2wQIiDDHwkYC9DCBS+xuNlioT/bGV04pAFEKsy827J0Z2N8vID75AYKNMk97Fcj0LCWwv9nOF09Se1fQ==" saltValue="pAJ521jAND8YXXYoETV5kg==" spinCount="100000" sheet="1" objects="1"/>
  <mergeCells count="22">
    <mergeCell ref="B161:D161"/>
    <mergeCell ref="B80:C80"/>
    <mergeCell ref="B3:D3"/>
    <mergeCell ref="B4:D4"/>
    <mergeCell ref="B7:D7"/>
    <mergeCell ref="B24:D24"/>
    <mergeCell ref="B245:D245"/>
    <mergeCell ref="B247:B249"/>
    <mergeCell ref="C247:C249"/>
    <mergeCell ref="B163:B174"/>
    <mergeCell ref="C163:C174"/>
    <mergeCell ref="B181:B193"/>
    <mergeCell ref="C181:C193"/>
    <mergeCell ref="B200:D200"/>
    <mergeCell ref="B223:D223"/>
    <mergeCell ref="B230:D230"/>
    <mergeCell ref="B258:D258"/>
    <mergeCell ref="B260:B262"/>
    <mergeCell ref="C260:C262"/>
    <mergeCell ref="E260:E262"/>
    <mergeCell ref="D247:D249"/>
    <mergeCell ref="E247:E249"/>
  </mergeCells>
  <printOptions horizontalCentered="1" verticalCentered="1"/>
  <pageMargins left="0.25" right="0.25" top="0.25" bottom="0.25" header="0" footer="0"/>
  <pageSetup scale="96" fitToHeight="0" orientation="landscape" r:id="rId1"/>
  <rowBreaks count="16" manualBreakCount="16">
    <brk id="20" max="16383" man="1"/>
    <brk id="33" max="16383" man="1"/>
    <brk id="45" max="16383" man="1"/>
    <brk id="51" max="16383" man="1"/>
    <brk id="81" max="16383" man="1"/>
    <brk id="107" max="16383" man="1"/>
    <brk id="120" max="16383" man="1"/>
    <brk id="134" max="16383" man="1"/>
    <brk id="149" max="16383" man="1"/>
    <brk id="157" max="16383" man="1"/>
    <brk id="177" max="16383" man="1"/>
    <brk id="196" max="16383" man="1"/>
    <brk id="207" max="16383" man="1"/>
    <brk id="218" max="16383" man="1"/>
    <brk id="232" max="16383" man="1"/>
    <brk id="241"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dimension ref="A1:H69"/>
  <sheetViews>
    <sheetView showGridLines="0" view="pageLayout" topLeftCell="A22" zoomScale="90" zoomScaleNormal="100" zoomScaleSheetLayoutView="90" zoomScalePageLayoutView="90" workbookViewId="0">
      <selection activeCell="E21" sqref="E21"/>
    </sheetView>
  </sheetViews>
  <sheetFormatPr defaultColWidth="9.109375" defaultRowHeight="14.4" x14ac:dyDescent="0.3"/>
  <cols>
    <col min="1" max="1" width="34.6640625" customWidth="1"/>
    <col min="2" max="2" width="13.88671875" bestFit="1" customWidth="1"/>
    <col min="3" max="3" width="13.88671875" customWidth="1"/>
    <col min="4" max="4" width="9.109375" customWidth="1"/>
    <col min="8" max="8" width="34.6640625" style="163" customWidth="1"/>
  </cols>
  <sheetData>
    <row r="1" spans="2:8" ht="39" customHeight="1" x14ac:dyDescent="0.3">
      <c r="H1" s="184" t="s">
        <v>209</v>
      </c>
    </row>
    <row r="2" spans="2:8" ht="15.75" customHeight="1" thickBot="1" x14ac:dyDescent="0.35"/>
    <row r="3" spans="2:8" x14ac:dyDescent="0.3">
      <c r="B3" s="117" t="s">
        <v>12</v>
      </c>
      <c r="C3" s="118"/>
      <c r="D3" s="119" t="s">
        <v>53</v>
      </c>
      <c r="E3" s="119"/>
      <c r="F3" s="119"/>
      <c r="G3" s="120"/>
    </row>
    <row r="4" spans="2:8" s="2" customFormat="1" ht="15" thickBot="1" x14ac:dyDescent="0.35">
      <c r="B4" s="128" t="s">
        <v>13</v>
      </c>
      <c r="C4" s="129">
        <v>0</v>
      </c>
      <c r="D4" s="129">
        <v>2</v>
      </c>
      <c r="E4" s="129">
        <v>4</v>
      </c>
      <c r="F4" s="129">
        <v>5</v>
      </c>
      <c r="G4" s="130">
        <v>8</v>
      </c>
      <c r="H4" s="164"/>
    </row>
    <row r="5" spans="2:8" s="2" customFormat="1" x14ac:dyDescent="0.3">
      <c r="B5" s="262">
        <v>0</v>
      </c>
      <c r="C5" s="1">
        <v>1</v>
      </c>
      <c r="D5" s="263">
        <v>1</v>
      </c>
      <c r="E5" s="263">
        <v>1</v>
      </c>
      <c r="F5" s="263">
        <v>1</v>
      </c>
      <c r="G5" s="264">
        <v>1</v>
      </c>
      <c r="H5" s="164"/>
    </row>
    <row r="6" spans="2:8" x14ac:dyDescent="0.3">
      <c r="B6" s="122">
        <v>25</v>
      </c>
      <c r="C6" s="16">
        <v>1</v>
      </c>
      <c r="D6" s="7">
        <v>1</v>
      </c>
      <c r="E6" s="7">
        <v>1.06</v>
      </c>
      <c r="F6" s="7">
        <v>1.1299999999999999</v>
      </c>
      <c r="G6" s="123">
        <v>1.19</v>
      </c>
    </row>
    <row r="7" spans="2:8" x14ac:dyDescent="0.3">
      <c r="B7" s="122">
        <v>50</v>
      </c>
      <c r="C7" s="16">
        <v>1</v>
      </c>
      <c r="D7" s="7">
        <v>1</v>
      </c>
      <c r="E7" s="7">
        <v>1.0900000000000001</v>
      </c>
      <c r="F7" s="7">
        <v>1.17</v>
      </c>
      <c r="G7" s="123">
        <v>1.25</v>
      </c>
    </row>
    <row r="8" spans="2:8" x14ac:dyDescent="0.3">
      <c r="B8" s="122">
        <v>75</v>
      </c>
      <c r="C8" s="16">
        <v>1</v>
      </c>
      <c r="D8" s="7">
        <v>1</v>
      </c>
      <c r="E8" s="7">
        <v>1.1000000000000001</v>
      </c>
      <c r="F8" s="7">
        <v>1.19</v>
      </c>
      <c r="G8" s="123">
        <v>1.29</v>
      </c>
    </row>
    <row r="9" spans="2:8" x14ac:dyDescent="0.3">
      <c r="B9" s="122">
        <v>100</v>
      </c>
      <c r="C9" s="16">
        <v>1</v>
      </c>
      <c r="D9" s="7">
        <v>1</v>
      </c>
      <c r="E9" s="7">
        <v>1.1100000000000001</v>
      </c>
      <c r="F9" s="7">
        <v>1.21</v>
      </c>
      <c r="G9" s="123">
        <v>1.32</v>
      </c>
    </row>
    <row r="10" spans="2:8" x14ac:dyDescent="0.3">
      <c r="B10" s="122">
        <v>125</v>
      </c>
      <c r="C10" s="16">
        <v>1</v>
      </c>
      <c r="D10" s="7">
        <v>1</v>
      </c>
      <c r="E10" s="7">
        <v>1.1200000000000001</v>
      </c>
      <c r="F10" s="7">
        <v>1.23</v>
      </c>
      <c r="G10" s="123">
        <v>1.34</v>
      </c>
    </row>
    <row r="11" spans="2:8" x14ac:dyDescent="0.3">
      <c r="B11" s="122">
        <v>150</v>
      </c>
      <c r="C11" s="16">
        <v>1</v>
      </c>
      <c r="D11" s="7">
        <v>1</v>
      </c>
      <c r="E11" s="7">
        <v>1.1200000000000001</v>
      </c>
      <c r="F11" s="7">
        <v>1.24</v>
      </c>
      <c r="G11" s="123">
        <v>1.37</v>
      </c>
    </row>
    <row r="12" spans="2:8" x14ac:dyDescent="0.3">
      <c r="B12" s="122">
        <v>175</v>
      </c>
      <c r="C12" s="16">
        <v>1</v>
      </c>
      <c r="D12" s="7">
        <v>1</v>
      </c>
      <c r="E12" s="7">
        <v>1.1299999999999999</v>
      </c>
      <c r="F12" s="7">
        <v>1.25</v>
      </c>
      <c r="G12" s="123">
        <v>1.38</v>
      </c>
    </row>
    <row r="13" spans="2:8" x14ac:dyDescent="0.3">
      <c r="B13" s="122">
        <v>200</v>
      </c>
      <c r="C13" s="16">
        <v>1</v>
      </c>
      <c r="D13" s="7">
        <v>1</v>
      </c>
      <c r="E13" s="7">
        <v>1.1299999999999999</v>
      </c>
      <c r="F13" s="7">
        <v>1.25</v>
      </c>
      <c r="G13" s="123">
        <v>1.4</v>
      </c>
    </row>
    <row r="14" spans="2:8" x14ac:dyDescent="0.3">
      <c r="B14" s="122">
        <v>225</v>
      </c>
      <c r="C14" s="16">
        <v>1</v>
      </c>
      <c r="D14" s="7">
        <v>1</v>
      </c>
      <c r="E14" s="7">
        <v>1.1399999999999999</v>
      </c>
      <c r="F14" s="7">
        <v>1.27</v>
      </c>
      <c r="G14" s="123">
        <v>1.42</v>
      </c>
    </row>
    <row r="15" spans="2:8" x14ac:dyDescent="0.3">
      <c r="B15" s="122">
        <v>250</v>
      </c>
      <c r="C15" s="16">
        <v>1</v>
      </c>
      <c r="D15" s="7">
        <v>1</v>
      </c>
      <c r="E15" s="7">
        <v>1.1399999999999999</v>
      </c>
      <c r="F15" s="7">
        <v>1.28</v>
      </c>
      <c r="G15" s="123">
        <v>1.43</v>
      </c>
    </row>
    <row r="16" spans="2:8" x14ac:dyDescent="0.3">
      <c r="B16" s="122">
        <v>275</v>
      </c>
      <c r="C16" s="16">
        <v>1</v>
      </c>
      <c r="D16" s="7">
        <v>1</v>
      </c>
      <c r="E16" s="7">
        <v>1.1399999999999999</v>
      </c>
      <c r="F16" s="7">
        <v>1.29</v>
      </c>
      <c r="G16" s="123">
        <v>1.44</v>
      </c>
    </row>
    <row r="17" spans="1:8" x14ac:dyDescent="0.3">
      <c r="B17" s="122">
        <v>300</v>
      </c>
      <c r="C17" s="16">
        <v>1</v>
      </c>
      <c r="D17" s="7">
        <v>1</v>
      </c>
      <c r="E17" s="7">
        <v>1.1399999999999999</v>
      </c>
      <c r="F17" s="7">
        <v>1.3</v>
      </c>
      <c r="G17" s="123">
        <v>1.46</v>
      </c>
    </row>
    <row r="18" spans="1:8" x14ac:dyDescent="0.3">
      <c r="B18" s="122">
        <v>325</v>
      </c>
      <c r="C18" s="16">
        <v>1</v>
      </c>
      <c r="D18" s="7">
        <v>1</v>
      </c>
      <c r="E18" s="7">
        <v>1.1499999999999999</v>
      </c>
      <c r="F18" s="7">
        <v>1.3</v>
      </c>
      <c r="G18" s="123">
        <v>1.47</v>
      </c>
    </row>
    <row r="19" spans="1:8" x14ac:dyDescent="0.3">
      <c r="B19" s="122">
        <v>350</v>
      </c>
      <c r="C19" s="16">
        <v>1</v>
      </c>
      <c r="D19" s="7">
        <v>1</v>
      </c>
      <c r="E19" s="7">
        <v>1.1499999999999999</v>
      </c>
      <c r="F19" s="7">
        <v>1.31</v>
      </c>
      <c r="G19" s="123">
        <v>1.48</v>
      </c>
    </row>
    <row r="20" spans="1:8" x14ac:dyDescent="0.3">
      <c r="B20" s="122">
        <v>375</v>
      </c>
      <c r="C20" s="16">
        <v>1</v>
      </c>
      <c r="D20" s="7">
        <v>1</v>
      </c>
      <c r="E20" s="7">
        <v>1.1499999999999999</v>
      </c>
      <c r="F20" s="7">
        <v>1.31</v>
      </c>
      <c r="G20" s="123">
        <v>1.49</v>
      </c>
    </row>
    <row r="21" spans="1:8" ht="15" thickBot="1" x14ac:dyDescent="0.35">
      <c r="B21" s="124">
        <v>400</v>
      </c>
      <c r="C21" s="125">
        <v>1</v>
      </c>
      <c r="D21" s="126">
        <v>1</v>
      </c>
      <c r="E21" s="126">
        <v>1.1499999999999999</v>
      </c>
      <c r="F21" s="126">
        <v>1.32</v>
      </c>
      <c r="G21" s="127">
        <v>1.5</v>
      </c>
    </row>
    <row r="22" spans="1:8" ht="222.9" customHeight="1" x14ac:dyDescent="0.3">
      <c r="B22" s="165"/>
      <c r="C22" s="16"/>
      <c r="D22" s="7"/>
      <c r="E22" s="7"/>
      <c r="F22" s="7"/>
      <c r="G22" s="7"/>
    </row>
    <row r="23" spans="1:8" ht="30" customHeight="1" x14ac:dyDescent="0.3">
      <c r="A23" s="331"/>
      <c r="B23" s="331"/>
      <c r="C23" s="331"/>
      <c r="D23" s="331"/>
      <c r="E23" s="332"/>
      <c r="F23" s="332"/>
      <c r="G23" s="332"/>
      <c r="H23" s="1" t="s">
        <v>182</v>
      </c>
    </row>
    <row r="24" spans="1:8" ht="38.25" customHeight="1" x14ac:dyDescent="0.3">
      <c r="H24" s="184" t="s">
        <v>209</v>
      </c>
    </row>
    <row r="25" spans="1:8" ht="15" thickBot="1" x14ac:dyDescent="0.35">
      <c r="B25" s="16"/>
      <c r="C25" s="16"/>
      <c r="D25" s="7"/>
      <c r="E25" s="7"/>
      <c r="F25" s="7"/>
      <c r="G25" s="7"/>
    </row>
    <row r="26" spans="1:8" x14ac:dyDescent="0.3">
      <c r="B26" s="117" t="s">
        <v>12</v>
      </c>
      <c r="C26" s="118"/>
      <c r="D26" s="118" t="s">
        <v>9</v>
      </c>
      <c r="E26" s="118"/>
      <c r="F26" s="118"/>
      <c r="G26" s="131"/>
    </row>
    <row r="27" spans="1:8" ht="15" thickBot="1" x14ac:dyDescent="0.35">
      <c r="B27" s="128" t="s">
        <v>13</v>
      </c>
      <c r="C27" s="129">
        <v>0</v>
      </c>
      <c r="D27" s="129">
        <v>2</v>
      </c>
      <c r="E27" s="129">
        <v>4</v>
      </c>
      <c r="F27" s="129">
        <v>6</v>
      </c>
      <c r="G27" s="130">
        <v>8</v>
      </c>
    </row>
    <row r="28" spans="1:8" x14ac:dyDescent="0.3">
      <c r="B28" s="262">
        <v>0</v>
      </c>
      <c r="C28" s="1">
        <v>1</v>
      </c>
      <c r="D28" s="263">
        <v>1</v>
      </c>
      <c r="E28" s="263">
        <v>1</v>
      </c>
      <c r="F28" s="263">
        <v>1</v>
      </c>
      <c r="G28" s="264">
        <v>1</v>
      </c>
    </row>
    <row r="29" spans="1:8" x14ac:dyDescent="0.3">
      <c r="B29" s="122">
        <v>25</v>
      </c>
      <c r="C29" s="16">
        <v>1</v>
      </c>
      <c r="D29" s="7">
        <v>1.01</v>
      </c>
      <c r="E29" s="7">
        <v>1.1000000000000001</v>
      </c>
      <c r="F29" s="7">
        <v>1.19</v>
      </c>
      <c r="G29" s="132">
        <v>1.28</v>
      </c>
    </row>
    <row r="30" spans="1:8" x14ac:dyDescent="0.3">
      <c r="B30" s="122">
        <v>50</v>
      </c>
      <c r="C30" s="16">
        <v>1</v>
      </c>
      <c r="D30" s="7">
        <v>1.01</v>
      </c>
      <c r="E30" s="7">
        <v>1.1200000000000001</v>
      </c>
      <c r="F30" s="7">
        <v>1.21</v>
      </c>
      <c r="G30" s="132">
        <v>1.3</v>
      </c>
    </row>
    <row r="31" spans="1:8" x14ac:dyDescent="0.3">
      <c r="B31" s="122">
        <v>75</v>
      </c>
      <c r="C31" s="16">
        <v>1</v>
      </c>
      <c r="D31" s="7">
        <v>1.02</v>
      </c>
      <c r="E31" s="7">
        <v>1.1299999999999999</v>
      </c>
      <c r="F31" s="7">
        <v>1.23</v>
      </c>
      <c r="G31" s="132">
        <v>1.33</v>
      </c>
    </row>
    <row r="32" spans="1:8" x14ac:dyDescent="0.3">
      <c r="B32" s="122">
        <v>100</v>
      </c>
      <c r="C32" s="16">
        <v>1</v>
      </c>
      <c r="D32" s="7">
        <v>1.02</v>
      </c>
      <c r="E32" s="7">
        <v>1.1399999999999999</v>
      </c>
      <c r="F32" s="7">
        <v>1.25</v>
      </c>
      <c r="G32" s="132">
        <v>1.35</v>
      </c>
    </row>
    <row r="33" spans="1:8" x14ac:dyDescent="0.3">
      <c r="B33" s="122">
        <v>125</v>
      </c>
      <c r="C33" s="16">
        <v>1</v>
      </c>
      <c r="D33" s="7">
        <v>1.03</v>
      </c>
      <c r="E33" s="7">
        <v>1.1499999999999999</v>
      </c>
      <c r="F33" s="7">
        <v>1.26</v>
      </c>
      <c r="G33" s="132">
        <v>1.37</v>
      </c>
    </row>
    <row r="34" spans="1:8" x14ac:dyDescent="0.3">
      <c r="B34" s="122">
        <v>150</v>
      </c>
      <c r="C34" s="16">
        <v>1</v>
      </c>
      <c r="D34" s="7">
        <v>1.03</v>
      </c>
      <c r="E34" s="7">
        <v>1.1599999999999999</v>
      </c>
      <c r="F34" s="7">
        <v>1.28</v>
      </c>
      <c r="G34" s="132">
        <v>1.4</v>
      </c>
    </row>
    <row r="35" spans="1:8" x14ac:dyDescent="0.3">
      <c r="B35" s="122">
        <v>175</v>
      </c>
      <c r="C35" s="16">
        <v>1</v>
      </c>
      <c r="D35" s="7">
        <v>1.03</v>
      </c>
      <c r="E35" s="7">
        <v>1.17</v>
      </c>
      <c r="F35" s="7">
        <v>1.29</v>
      </c>
      <c r="G35" s="132">
        <v>1.42</v>
      </c>
    </row>
    <row r="36" spans="1:8" x14ac:dyDescent="0.3">
      <c r="B36" s="122">
        <v>200</v>
      </c>
      <c r="C36" s="16">
        <v>1</v>
      </c>
      <c r="D36" s="7">
        <v>1.04</v>
      </c>
      <c r="E36" s="7">
        <v>1.17</v>
      </c>
      <c r="F36" s="7">
        <v>1.3</v>
      </c>
      <c r="G36" s="132">
        <v>1.43</v>
      </c>
    </row>
    <row r="37" spans="1:8" x14ac:dyDescent="0.3">
      <c r="B37" s="122">
        <v>225</v>
      </c>
      <c r="C37" s="16">
        <v>1</v>
      </c>
      <c r="D37" s="7">
        <v>1.04</v>
      </c>
      <c r="E37" s="7">
        <v>1.18</v>
      </c>
      <c r="F37" s="7">
        <v>1.32</v>
      </c>
      <c r="G37" s="132">
        <v>1.45</v>
      </c>
    </row>
    <row r="38" spans="1:8" x14ac:dyDescent="0.3">
      <c r="B38" s="122">
        <v>250</v>
      </c>
      <c r="C38" s="16">
        <v>1</v>
      </c>
      <c r="D38" s="7">
        <v>1.04</v>
      </c>
      <c r="E38" s="7">
        <v>1.19</v>
      </c>
      <c r="F38" s="7">
        <v>1.33</v>
      </c>
      <c r="G38" s="132">
        <v>1.47</v>
      </c>
    </row>
    <row r="39" spans="1:8" x14ac:dyDescent="0.3">
      <c r="B39" s="122">
        <v>275</v>
      </c>
      <c r="C39" s="16">
        <v>1</v>
      </c>
      <c r="D39" s="7">
        <v>1.05</v>
      </c>
      <c r="E39" s="7">
        <v>1.2</v>
      </c>
      <c r="F39" s="7">
        <v>1.34</v>
      </c>
      <c r="G39" s="132">
        <v>1.49</v>
      </c>
    </row>
    <row r="40" spans="1:8" x14ac:dyDescent="0.3">
      <c r="B40" s="122">
        <v>300</v>
      </c>
      <c r="C40" s="16">
        <v>1</v>
      </c>
      <c r="D40" s="7">
        <v>1.05</v>
      </c>
      <c r="E40" s="7">
        <v>1.2</v>
      </c>
      <c r="F40" s="7">
        <v>1.35</v>
      </c>
      <c r="G40" s="132">
        <v>1.5</v>
      </c>
    </row>
    <row r="41" spans="1:8" x14ac:dyDescent="0.3">
      <c r="B41" s="122">
        <v>325</v>
      </c>
      <c r="C41" s="16">
        <v>1</v>
      </c>
      <c r="D41" s="7">
        <v>1.05</v>
      </c>
      <c r="E41" s="7">
        <v>1.21</v>
      </c>
      <c r="F41" s="7">
        <v>1.36</v>
      </c>
      <c r="G41" s="132">
        <v>1.52</v>
      </c>
    </row>
    <row r="42" spans="1:8" x14ac:dyDescent="0.3">
      <c r="B42" s="122">
        <v>350</v>
      </c>
      <c r="C42" s="16">
        <v>1</v>
      </c>
      <c r="D42" s="7">
        <v>1.05</v>
      </c>
      <c r="E42" s="7">
        <v>1.22</v>
      </c>
      <c r="F42" s="7">
        <v>1.37</v>
      </c>
      <c r="G42" s="132">
        <v>1.54</v>
      </c>
    </row>
    <row r="43" spans="1:8" x14ac:dyDescent="0.3">
      <c r="B43" s="122">
        <v>375</v>
      </c>
      <c r="C43" s="16">
        <v>1</v>
      </c>
      <c r="D43" s="7">
        <v>1.06</v>
      </c>
      <c r="E43" s="7">
        <v>1.22</v>
      </c>
      <c r="F43" s="7">
        <v>1.38</v>
      </c>
      <c r="G43" s="132">
        <v>1.55</v>
      </c>
    </row>
    <row r="44" spans="1:8" ht="15" thickBot="1" x14ac:dyDescent="0.35">
      <c r="B44" s="124">
        <v>400</v>
      </c>
      <c r="C44" s="125">
        <v>1</v>
      </c>
      <c r="D44" s="126">
        <v>1.06</v>
      </c>
      <c r="E44" s="133">
        <v>1.23</v>
      </c>
      <c r="F44" s="133">
        <v>1.4</v>
      </c>
      <c r="G44" s="134">
        <v>1.57</v>
      </c>
    </row>
    <row r="45" spans="1:8" ht="223.65" customHeight="1" x14ac:dyDescent="0.3">
      <c r="B45" s="165"/>
      <c r="C45" s="16"/>
      <c r="D45" s="7"/>
      <c r="E45" s="7"/>
      <c r="F45" s="7"/>
      <c r="G45" s="7"/>
    </row>
    <row r="46" spans="1:8" ht="30" customHeight="1" x14ac:dyDescent="0.3">
      <c r="A46" s="331"/>
      <c r="B46" s="331"/>
      <c r="C46" s="331"/>
      <c r="D46" s="331"/>
      <c r="E46" s="332"/>
      <c r="F46" s="332"/>
      <c r="G46" s="332"/>
      <c r="H46" s="1" t="s">
        <v>183</v>
      </c>
    </row>
    <row r="47" spans="1:8" ht="38.25" customHeight="1" x14ac:dyDescent="0.3">
      <c r="B47" s="16"/>
      <c r="C47" s="16"/>
      <c r="D47" s="7"/>
      <c r="H47" s="184" t="s">
        <v>209</v>
      </c>
    </row>
    <row r="48" spans="1:8" ht="15" customHeight="1" thickBot="1" x14ac:dyDescent="0.35">
      <c r="B48" s="16"/>
      <c r="C48" s="16"/>
      <c r="D48" s="7"/>
    </row>
    <row r="49" spans="2:7" x14ac:dyDescent="0.3">
      <c r="B49" s="117" t="s">
        <v>12</v>
      </c>
      <c r="C49" s="118"/>
      <c r="D49" s="118" t="s">
        <v>10</v>
      </c>
      <c r="E49" s="118"/>
      <c r="F49" s="118"/>
      <c r="G49" s="131"/>
    </row>
    <row r="50" spans="2:7" ht="15" thickBot="1" x14ac:dyDescent="0.35">
      <c r="B50" s="128" t="s">
        <v>13</v>
      </c>
      <c r="C50" s="129">
        <v>0</v>
      </c>
      <c r="D50" s="129">
        <v>2</v>
      </c>
      <c r="E50" s="129">
        <v>4</v>
      </c>
      <c r="F50" s="129">
        <v>6</v>
      </c>
      <c r="G50" s="130">
        <v>8</v>
      </c>
    </row>
    <row r="51" spans="2:7" x14ac:dyDescent="0.3">
      <c r="B51" s="262">
        <v>0</v>
      </c>
      <c r="C51" s="1">
        <v>1</v>
      </c>
      <c r="D51" s="263">
        <v>1</v>
      </c>
      <c r="E51" s="263">
        <v>1</v>
      </c>
      <c r="F51" s="263">
        <v>1</v>
      </c>
      <c r="G51" s="264">
        <v>1</v>
      </c>
    </row>
    <row r="52" spans="2:7" x14ac:dyDescent="0.3">
      <c r="B52" s="122">
        <v>25</v>
      </c>
      <c r="C52" s="16">
        <v>1</v>
      </c>
      <c r="D52" s="7">
        <v>1.0900000000000001</v>
      </c>
      <c r="E52" s="7">
        <v>1.27</v>
      </c>
      <c r="F52" s="7">
        <v>1.42</v>
      </c>
      <c r="G52" s="123">
        <v>1.55</v>
      </c>
    </row>
    <row r="53" spans="2:7" x14ac:dyDescent="0.3">
      <c r="B53" s="122">
        <v>50</v>
      </c>
      <c r="C53" s="16">
        <v>1</v>
      </c>
      <c r="D53" s="7">
        <v>1.1000000000000001</v>
      </c>
      <c r="E53" s="7">
        <v>1.28</v>
      </c>
      <c r="F53" s="7">
        <v>1.44</v>
      </c>
      <c r="G53" s="123">
        <v>1.58</v>
      </c>
    </row>
    <row r="54" spans="2:7" x14ac:dyDescent="0.3">
      <c r="B54" s="122">
        <v>75</v>
      </c>
      <c r="C54" s="16">
        <v>1</v>
      </c>
      <c r="D54" s="7">
        <v>1.1100000000000001</v>
      </c>
      <c r="E54" s="7">
        <v>1.3</v>
      </c>
      <c r="F54" s="7">
        <v>1.47</v>
      </c>
      <c r="G54" s="123">
        <v>1.61</v>
      </c>
    </row>
    <row r="55" spans="2:7" x14ac:dyDescent="0.3">
      <c r="B55" s="122">
        <v>100</v>
      </c>
      <c r="C55" s="16">
        <v>1</v>
      </c>
      <c r="D55" s="7">
        <v>1.1100000000000001</v>
      </c>
      <c r="E55" s="7">
        <v>1.31</v>
      </c>
      <c r="F55" s="7">
        <v>1.48</v>
      </c>
      <c r="G55" s="123">
        <v>1.64</v>
      </c>
    </row>
    <row r="56" spans="2:7" x14ac:dyDescent="0.3">
      <c r="B56" s="122">
        <v>125</v>
      </c>
      <c r="C56" s="16">
        <v>1</v>
      </c>
      <c r="D56" s="7">
        <v>1.1200000000000001</v>
      </c>
      <c r="E56" s="7">
        <v>1.32</v>
      </c>
      <c r="F56" s="7">
        <v>1.5</v>
      </c>
      <c r="G56" s="123">
        <v>1.66</v>
      </c>
    </row>
    <row r="57" spans="2:7" x14ac:dyDescent="0.3">
      <c r="B57" s="122">
        <v>150</v>
      </c>
      <c r="C57" s="16">
        <v>1</v>
      </c>
      <c r="D57" s="7">
        <v>1.1200000000000001</v>
      </c>
      <c r="E57" s="7">
        <v>1.33</v>
      </c>
      <c r="F57" s="7">
        <v>1.52</v>
      </c>
      <c r="G57" s="123">
        <v>1.68</v>
      </c>
    </row>
    <row r="58" spans="2:7" x14ac:dyDescent="0.3">
      <c r="B58" s="122">
        <v>175</v>
      </c>
      <c r="C58" s="16">
        <v>1</v>
      </c>
      <c r="D58" s="7">
        <v>1.1200000000000001</v>
      </c>
      <c r="E58" s="7">
        <v>1.34</v>
      </c>
      <c r="F58" s="7">
        <v>1.53</v>
      </c>
      <c r="G58" s="123">
        <v>1.7</v>
      </c>
    </row>
    <row r="59" spans="2:7" x14ac:dyDescent="0.3">
      <c r="B59" s="122">
        <v>200</v>
      </c>
      <c r="C59" s="16">
        <v>1</v>
      </c>
      <c r="D59" s="7">
        <v>1.1299999999999999</v>
      </c>
      <c r="E59" s="7">
        <v>1.35</v>
      </c>
      <c r="F59" s="7">
        <v>1.54</v>
      </c>
      <c r="G59" s="123">
        <v>1.72</v>
      </c>
    </row>
    <row r="60" spans="2:7" x14ac:dyDescent="0.3">
      <c r="B60" s="122">
        <v>225</v>
      </c>
      <c r="C60" s="16">
        <v>1</v>
      </c>
      <c r="D60" s="7">
        <v>1.1299999999999999</v>
      </c>
      <c r="E60" s="7">
        <v>1.35</v>
      </c>
      <c r="F60" s="7">
        <v>1.56</v>
      </c>
      <c r="G60" s="123">
        <v>1.74</v>
      </c>
    </row>
    <row r="61" spans="2:7" x14ac:dyDescent="0.3">
      <c r="B61" s="122">
        <v>250</v>
      </c>
      <c r="C61" s="16">
        <v>1</v>
      </c>
      <c r="D61" s="7">
        <v>1.1299999999999999</v>
      </c>
      <c r="E61" s="7">
        <v>1.36</v>
      </c>
      <c r="F61" s="7">
        <v>1.57</v>
      </c>
      <c r="G61" s="123">
        <v>1.76</v>
      </c>
    </row>
    <row r="62" spans="2:7" x14ac:dyDescent="0.3">
      <c r="B62" s="122">
        <v>275</v>
      </c>
      <c r="C62" s="16">
        <v>1</v>
      </c>
      <c r="D62" s="7">
        <v>1.1399999999999999</v>
      </c>
      <c r="E62" s="7">
        <v>1.37</v>
      </c>
      <c r="F62" s="7">
        <v>1.58</v>
      </c>
      <c r="G62" s="123">
        <v>1.77</v>
      </c>
    </row>
    <row r="63" spans="2:7" x14ac:dyDescent="0.3">
      <c r="B63" s="122">
        <v>300</v>
      </c>
      <c r="C63" s="16">
        <v>1</v>
      </c>
      <c r="D63" s="7">
        <v>1.1399999999999999</v>
      </c>
      <c r="E63" s="7">
        <v>1.37</v>
      </c>
      <c r="F63" s="7">
        <v>1.59</v>
      </c>
      <c r="G63" s="123">
        <v>1.79</v>
      </c>
    </row>
    <row r="64" spans="2:7" x14ac:dyDescent="0.3">
      <c r="B64" s="122">
        <v>325</v>
      </c>
      <c r="C64" s="16">
        <v>1</v>
      </c>
      <c r="D64" s="7">
        <v>1.1399999999999999</v>
      </c>
      <c r="E64" s="7">
        <v>1.38</v>
      </c>
      <c r="F64" s="7">
        <v>1.6</v>
      </c>
      <c r="G64" s="123">
        <v>1.81</v>
      </c>
    </row>
    <row r="65" spans="1:8" x14ac:dyDescent="0.3">
      <c r="B65" s="122">
        <v>350</v>
      </c>
      <c r="C65" s="16">
        <v>1</v>
      </c>
      <c r="D65" s="7">
        <v>1.1499999999999999</v>
      </c>
      <c r="E65" s="7">
        <v>1.39</v>
      </c>
      <c r="F65" s="7">
        <v>1.61</v>
      </c>
      <c r="G65" s="123">
        <v>1.82</v>
      </c>
    </row>
    <row r="66" spans="1:8" x14ac:dyDescent="0.3">
      <c r="B66" s="122">
        <v>375</v>
      </c>
      <c r="C66" s="16">
        <v>1</v>
      </c>
      <c r="D66" s="7">
        <v>1.1499999999999999</v>
      </c>
      <c r="E66" s="7">
        <v>1.39</v>
      </c>
      <c r="F66" s="7">
        <v>1.62</v>
      </c>
      <c r="G66" s="123">
        <v>1.84</v>
      </c>
    </row>
    <row r="67" spans="1:8" ht="15" thickBot="1" x14ac:dyDescent="0.35">
      <c r="B67" s="124">
        <v>400</v>
      </c>
      <c r="C67" s="125">
        <v>1</v>
      </c>
      <c r="D67" s="126">
        <v>1.1499999999999999</v>
      </c>
      <c r="E67" s="126">
        <v>1.4</v>
      </c>
      <c r="F67" s="126">
        <v>1.63</v>
      </c>
      <c r="G67" s="127">
        <v>1.85</v>
      </c>
    </row>
    <row r="68" spans="1:8" ht="224.4" customHeight="1" x14ac:dyDescent="0.3">
      <c r="B68" s="165"/>
      <c r="C68" s="16"/>
      <c r="D68" s="7"/>
      <c r="E68" s="7"/>
      <c r="F68" s="7"/>
      <c r="G68" s="7"/>
    </row>
    <row r="69" spans="1:8" ht="30" customHeight="1" x14ac:dyDescent="0.3">
      <c r="A69" s="331"/>
      <c r="B69" s="331"/>
      <c r="C69" s="331"/>
      <c r="D69" s="331"/>
      <c r="E69" s="332"/>
      <c r="F69" s="332"/>
      <c r="G69" s="332"/>
      <c r="H69" s="1" t="s">
        <v>184</v>
      </c>
    </row>
  </sheetData>
  <sheetProtection algorithmName="SHA-512" hashValue="4kdT9k6GOF1M6eK/MsLVXUCzB4OJ6A9hrkGCzwsnfvDSYg7KQn439ZkOOwyw52BLALs+Dv4faFr86Pxn+74Z8w==" saltValue="pq7/CNyo1XYqs+MS/bXsjQ==" spinCount="100000" sheet="1" selectLockedCells="1"/>
  <mergeCells count="3">
    <mergeCell ref="A23:G23"/>
    <mergeCell ref="A46:G46"/>
    <mergeCell ref="A69:G69"/>
  </mergeCells>
  <printOptions horizontalCentered="1"/>
  <pageMargins left="0.25" right="0.25" top="0.25" bottom="0.25" header="0" footer="0"/>
  <pageSetup scale="99" orientation="landscape" r:id="rId1"/>
  <headerFooter>
    <oddHeader>&amp;C&amp;G</oddHeader>
  </headerFooter>
  <rowBreaks count="2" manualBreakCount="2">
    <brk id="23" max="16383" man="1"/>
    <brk id="46" max="16383" man="1"/>
  </rowBreaks>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5D42A676BC1A048B81EC9533B3428F5" ma:contentTypeVersion="8" ma:contentTypeDescription="Create a new document." ma:contentTypeScope="" ma:versionID="7552abcb105e02e53839ae9d3e25fd2e">
  <xsd:schema xmlns:xsd="http://www.w3.org/2001/XMLSchema" xmlns:xs="http://www.w3.org/2001/XMLSchema" xmlns:p="http://schemas.microsoft.com/office/2006/metadata/properties" xmlns:ns2="7b4e963e-523e-415c-a2ca-d700de04a9b7" xmlns:ns3="f3f3deaa-1cd1-4972-954a-fc92bcb05415" targetNamespace="http://schemas.microsoft.com/office/2006/metadata/properties" ma:root="true" ma:fieldsID="baaa9ca47e1223d2f2c9fa8d2d63deb1" ns2:_="" ns3:_="">
    <xsd:import namespace="7b4e963e-523e-415c-a2ca-d700de04a9b7"/>
    <xsd:import namespace="f3f3deaa-1cd1-4972-954a-fc92bcb05415"/>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4e963e-523e-415c-a2ca-d700de04a9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52e0554e-cdf4-4646-9102-d038af87fbd8"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f3deaa-1cd1-4972-954a-fc92bcb05415"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0d590a1a-e910-486b-ab05-ecf96abefae4}" ma:internalName="TaxCatchAll" ma:showField="CatchAllData" ma:web="f3f3deaa-1cd1-4972-954a-fc92bcb0541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f3f3deaa-1cd1-4972-954a-fc92bcb05415" xsi:nil="true"/>
    <lcf76f155ced4ddcb4097134ff3c332f xmlns="7b4e963e-523e-415c-a2ca-d700de04a9b7">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FB06CED-0682-49AC-98A3-68BDB9ADDAF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b4e963e-523e-415c-a2ca-d700de04a9b7"/>
    <ds:schemaRef ds:uri="f3f3deaa-1cd1-4972-954a-fc92bcb0541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AD0DCDB-816F-43DC-8893-1F22FE297BB9}">
  <ds:schemaRefs>
    <ds:schemaRef ds:uri="http://schemas.microsoft.com/office/2006/metadata/properties"/>
    <ds:schemaRef ds:uri="http://schemas.microsoft.com/office/infopath/2007/PartnerControls"/>
    <ds:schemaRef ds:uri="4efe44b2-d4dd-4b5f-a359-75d8413e12f2"/>
    <ds:schemaRef ds:uri="a5571c72-5dc4-45cc-9c65-48981ac398b8"/>
    <ds:schemaRef ds:uri="f3f3deaa-1cd1-4972-954a-fc92bcb05415"/>
    <ds:schemaRef ds:uri="7b4e963e-523e-415c-a2ca-d700de04a9b7"/>
  </ds:schemaRefs>
</ds:datastoreItem>
</file>

<file path=customXml/itemProps3.xml><?xml version="1.0" encoding="utf-8"?>
<ds:datastoreItem xmlns:ds="http://schemas.openxmlformats.org/officeDocument/2006/customXml" ds:itemID="{4E1DFB68-E121-4A79-A5D6-8157352C3A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157</vt:i4>
      </vt:variant>
    </vt:vector>
  </HeadingPairs>
  <TitlesOfParts>
    <vt:vector size="173" baseType="lpstr">
      <vt:lpstr>PreemptionForm</vt:lpstr>
      <vt:lpstr>(OPTION) App-Con Veh Time</vt:lpstr>
      <vt:lpstr>(OPTION) Veh -Gate Int Time</vt:lpstr>
      <vt:lpstr>Grade Table&gt;400</vt:lpstr>
      <vt:lpstr>Gate-Interaction Table</vt:lpstr>
      <vt:lpstr>(OPTION) Time to Clear CSD</vt:lpstr>
      <vt:lpstr>(OPTION) Remove TCG</vt:lpstr>
      <vt:lpstr>Form Instructions</vt:lpstr>
      <vt:lpstr>Grade Table&lt;400</vt:lpstr>
      <vt:lpstr>AASHTO Designations</vt:lpstr>
      <vt:lpstr>Accel Table</vt:lpstr>
      <vt:lpstr>Calculation Summary</vt:lpstr>
      <vt:lpstr>Exhibit Data</vt:lpstr>
      <vt:lpstr>Preemption Form Exhibit</vt:lpstr>
      <vt:lpstr>Controller Cabinet Exhibit</vt:lpstr>
      <vt:lpstr>Other</vt:lpstr>
      <vt:lpstr>City</vt:lpstr>
      <vt:lpstr>completedby</vt:lpstr>
      <vt:lpstr>date</vt:lpstr>
      <vt:lpstr>dotno</vt:lpstr>
      <vt:lpstr>Form1</vt:lpstr>
      <vt:lpstr>Form10</vt:lpstr>
      <vt:lpstr>Form11</vt:lpstr>
      <vt:lpstr>Form12</vt:lpstr>
      <vt:lpstr>Form13</vt:lpstr>
      <vt:lpstr>Form15</vt:lpstr>
      <vt:lpstr>Form16</vt:lpstr>
      <vt:lpstr>Form17</vt:lpstr>
      <vt:lpstr>Form18</vt:lpstr>
      <vt:lpstr>Form19</vt:lpstr>
      <vt:lpstr>Form2</vt:lpstr>
      <vt:lpstr>Form20</vt:lpstr>
      <vt:lpstr>Form21</vt:lpstr>
      <vt:lpstr>Form22</vt:lpstr>
      <vt:lpstr>Form23</vt:lpstr>
      <vt:lpstr>Form24</vt:lpstr>
      <vt:lpstr>Form25</vt:lpstr>
      <vt:lpstr>Form26</vt:lpstr>
      <vt:lpstr>Form27</vt:lpstr>
      <vt:lpstr>Form28</vt:lpstr>
      <vt:lpstr>Form29</vt:lpstr>
      <vt:lpstr>Form3</vt:lpstr>
      <vt:lpstr>Form30</vt:lpstr>
      <vt:lpstr>Form31</vt:lpstr>
      <vt:lpstr>Form32</vt:lpstr>
      <vt:lpstr>Form33</vt:lpstr>
      <vt:lpstr>Form34</vt:lpstr>
      <vt:lpstr>Form35</vt:lpstr>
      <vt:lpstr>Form36</vt:lpstr>
      <vt:lpstr>Form37</vt:lpstr>
      <vt:lpstr>Form38</vt:lpstr>
      <vt:lpstr>Form39</vt:lpstr>
      <vt:lpstr>Form4</vt:lpstr>
      <vt:lpstr>Form40</vt:lpstr>
      <vt:lpstr>Form41</vt:lpstr>
      <vt:lpstr>Form42</vt:lpstr>
      <vt:lpstr>Form43</vt:lpstr>
      <vt:lpstr>Form44</vt:lpstr>
      <vt:lpstr>'(OPTION) Remove TCG'!Form45</vt:lpstr>
      <vt:lpstr>Form45</vt:lpstr>
      <vt:lpstr>'(OPTION) Remove TCG'!Form46</vt:lpstr>
      <vt:lpstr>Form46</vt:lpstr>
      <vt:lpstr>'(OPTION) Remove TCG'!Form47</vt:lpstr>
      <vt:lpstr>Form47</vt:lpstr>
      <vt:lpstr>'(OPTION) Remove TCG'!Form48</vt:lpstr>
      <vt:lpstr>Form48</vt:lpstr>
      <vt:lpstr>'(OPTION) Remove TCG'!Form49</vt:lpstr>
      <vt:lpstr>Form49</vt:lpstr>
      <vt:lpstr>Form5</vt:lpstr>
      <vt:lpstr>'(OPTION) Remove TCG'!Form50</vt:lpstr>
      <vt:lpstr>Form50</vt:lpstr>
      <vt:lpstr>'(OPTION) Remove TCG'!Form51</vt:lpstr>
      <vt:lpstr>Form51</vt:lpstr>
      <vt:lpstr>Form53</vt:lpstr>
      <vt:lpstr>Form54</vt:lpstr>
      <vt:lpstr>Form55</vt:lpstr>
      <vt:lpstr>Form56</vt:lpstr>
      <vt:lpstr>Form57</vt:lpstr>
      <vt:lpstr>Form58</vt:lpstr>
      <vt:lpstr>Form59</vt:lpstr>
      <vt:lpstr>Form6</vt:lpstr>
      <vt:lpstr>Form60</vt:lpstr>
      <vt:lpstr>Form61</vt:lpstr>
      <vt:lpstr>Form62</vt:lpstr>
      <vt:lpstr>Form63</vt:lpstr>
      <vt:lpstr>Form65</vt:lpstr>
      <vt:lpstr>Form66</vt:lpstr>
      <vt:lpstr>Form67</vt:lpstr>
      <vt:lpstr>Form68</vt:lpstr>
      <vt:lpstr>Form7</vt:lpstr>
      <vt:lpstr>Form70</vt:lpstr>
      <vt:lpstr>Form8</vt:lpstr>
      <vt:lpstr>Form9</vt:lpstr>
      <vt:lpstr>hwyauthcntct</vt:lpstr>
      <vt:lpstr>hwyauthority</vt:lpstr>
      <vt:lpstr>Line1</vt:lpstr>
      <vt:lpstr>Line10</vt:lpstr>
      <vt:lpstr>Line11</vt:lpstr>
      <vt:lpstr>Line12</vt:lpstr>
      <vt:lpstr>Line13</vt:lpstr>
      <vt:lpstr>Line15</vt:lpstr>
      <vt:lpstr>Line16</vt:lpstr>
      <vt:lpstr>Line17</vt:lpstr>
      <vt:lpstr>Line18</vt:lpstr>
      <vt:lpstr>Line19</vt:lpstr>
      <vt:lpstr>Line2</vt:lpstr>
      <vt:lpstr>Line20</vt:lpstr>
      <vt:lpstr>Line21</vt:lpstr>
      <vt:lpstr>Line22</vt:lpstr>
      <vt:lpstr>Line23</vt:lpstr>
      <vt:lpstr>Line24</vt:lpstr>
      <vt:lpstr>Line25</vt:lpstr>
      <vt:lpstr>Line26</vt:lpstr>
      <vt:lpstr>Line27</vt:lpstr>
      <vt:lpstr>Line28</vt:lpstr>
      <vt:lpstr>Line29</vt:lpstr>
      <vt:lpstr>Line3</vt:lpstr>
      <vt:lpstr>Line30</vt:lpstr>
      <vt:lpstr>Line31</vt:lpstr>
      <vt:lpstr>Line32</vt:lpstr>
      <vt:lpstr>Line33</vt:lpstr>
      <vt:lpstr>Line34</vt:lpstr>
      <vt:lpstr>Line35</vt:lpstr>
      <vt:lpstr>Line36</vt:lpstr>
      <vt:lpstr>Line37</vt:lpstr>
      <vt:lpstr>Line38</vt:lpstr>
      <vt:lpstr>Line39</vt:lpstr>
      <vt:lpstr>Line4</vt:lpstr>
      <vt:lpstr>Line40</vt:lpstr>
      <vt:lpstr>Line41</vt:lpstr>
      <vt:lpstr>Line42</vt:lpstr>
      <vt:lpstr>Line43</vt:lpstr>
      <vt:lpstr>Line44</vt:lpstr>
      <vt:lpstr>Line47</vt:lpstr>
      <vt:lpstr>Line5</vt:lpstr>
      <vt:lpstr>Line50</vt:lpstr>
      <vt:lpstr>Line51</vt:lpstr>
      <vt:lpstr>Line53</vt:lpstr>
      <vt:lpstr>Line54</vt:lpstr>
      <vt:lpstr>Line55</vt:lpstr>
      <vt:lpstr>Line56</vt:lpstr>
      <vt:lpstr>Line57</vt:lpstr>
      <vt:lpstr>Line58</vt:lpstr>
      <vt:lpstr>Line59</vt:lpstr>
      <vt:lpstr>Line6</vt:lpstr>
      <vt:lpstr>Line60</vt:lpstr>
      <vt:lpstr>Line61</vt:lpstr>
      <vt:lpstr>Line62</vt:lpstr>
      <vt:lpstr>Line63</vt:lpstr>
      <vt:lpstr>Line65</vt:lpstr>
      <vt:lpstr>Line66</vt:lpstr>
      <vt:lpstr>Line67</vt:lpstr>
      <vt:lpstr>Line68</vt:lpstr>
      <vt:lpstr>Line7</vt:lpstr>
      <vt:lpstr>Line70</vt:lpstr>
      <vt:lpstr>Line8</vt:lpstr>
      <vt:lpstr>Line9</vt:lpstr>
      <vt:lpstr>notracks</vt:lpstr>
      <vt:lpstr>'(OPTION) App-Con Veh Time'!Print_Area</vt:lpstr>
      <vt:lpstr>'(OPTION) Remove TCG'!Print_Area</vt:lpstr>
      <vt:lpstr>'(OPTION) Time to Clear CSD'!Print_Area</vt:lpstr>
      <vt:lpstr>'(OPTION) Veh -Gate Int Time'!Print_Area</vt:lpstr>
      <vt:lpstr>'AASHTO Designations'!Print_Area</vt:lpstr>
      <vt:lpstr>'Accel Table'!Print_Area</vt:lpstr>
      <vt:lpstr>'Calculation Summary'!Print_Area</vt:lpstr>
      <vt:lpstr>'Controller Cabinet Exhibit'!Print_Area</vt:lpstr>
      <vt:lpstr>'Exhibit Data'!Print_Area</vt:lpstr>
      <vt:lpstr>'Form Instructions'!Print_Area</vt:lpstr>
      <vt:lpstr>'Gate-Interaction Table'!Print_Area</vt:lpstr>
      <vt:lpstr>'Grade Table&lt;400'!Print_Area</vt:lpstr>
      <vt:lpstr>'Grade Table&gt;400'!Print_Area</vt:lpstr>
      <vt:lpstr>'Preemption Form Exhibit'!Print_Area</vt:lpstr>
      <vt:lpstr>PreemptionForm!Print_Area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Adrian Rodriguez</dc:creator>
  <cp:lastModifiedBy>Nicole Aquino</cp:lastModifiedBy>
  <cp:lastPrinted>2016-11-22T01:59:25Z</cp:lastPrinted>
  <dcterms:created xsi:type="dcterms:W3CDTF">2015-07-23T21:59:16Z</dcterms:created>
  <dcterms:modified xsi:type="dcterms:W3CDTF">2023-04-28T15:45:45Z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0x01010005D42A676BC1A048B81EC9533B3428F5</vt:lpwstr>
  </property>
  <property fmtid="{D5CDD505-2E9C-101B-9397-08002B2CF9AE}" pid="3" name="_ExtendedDescription">
    <vt:lpwstr/>
  </property>
  <property fmtid="{D5CDD505-2E9C-101B-9397-08002B2CF9AE}" pid="4" name="MediaServiceImageTags">
    <vt:lpwstr/>
  </property>
</Properties>
</file>